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12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货运'!$A$4:$EO$112</definedName>
    <definedName name="_xlnm._FilterDatabase" localSheetId="4" hidden="1">班线包车!$A$3:$JY$57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中口径明细!$A$98:$CH$188</definedName>
    <definedName name="_xlnm._FilterDatabase" localSheetId="17" hidden="1">中口径客运量!$A$2:$Z$188</definedName>
    <definedName name="_xlnm._FilterDatabase" localSheetId="13" hidden="1">中口径排名!$A$1:$I$20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<sst xmlns="http://schemas.openxmlformats.org/spreadsheetml/2006/main" count="3068" uniqueCount="365">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</sst>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0.0000;[Red]0.0000"/>
    <numFmt numFmtId="182" formatCode="yyyy&quot;年&quot;m&quot;月&quot;;@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6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7" applyNumberFormat="0" applyFill="0" applyAlignment="0" applyProtection="0">
      <alignment vertical="center"/>
    </xf>
    <xf numFmtId="0" fontId="56" fillId="0" borderId="47" applyNumberFormat="0" applyFill="0" applyAlignment="0" applyProtection="0">
      <alignment vertical="center"/>
    </xf>
    <xf numFmtId="0" fontId="57" fillId="0" borderId="48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49" applyNumberFormat="0" applyAlignment="0" applyProtection="0">
      <alignment vertical="center"/>
    </xf>
    <xf numFmtId="0" fontId="59" fillId="6" borderId="50" applyNumberFormat="0" applyAlignment="0" applyProtection="0">
      <alignment vertical="center"/>
    </xf>
    <xf numFmtId="0" fontId="60" fillId="6" borderId="49" applyNumberFormat="0" applyAlignment="0" applyProtection="0">
      <alignment vertical="center"/>
    </xf>
    <xf numFmtId="0" fontId="61" fillId="7" borderId="51" applyNumberFormat="0" applyAlignment="0" applyProtection="0">
      <alignment vertical="center"/>
    </xf>
    <xf numFmtId="0" fontId="62" fillId="0" borderId="52" applyNumberFormat="0" applyFill="0" applyAlignment="0" applyProtection="0">
      <alignment vertical="center"/>
    </xf>
    <xf numFmtId="0" fontId="63" fillId="0" borderId="53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2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7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>
      <alignment vertical="center"/>
    </xf>
    <xf numFmtId="0" fontId="33" fillId="0" borderId="0"/>
    <xf numFmtId="0" fontId="33" fillId="0" borderId="0">
      <alignment vertical="center"/>
    </xf>
    <xf numFmtId="0" fontId="0" fillId="0" borderId="0">
      <alignment vertical="center"/>
    </xf>
    <xf numFmtId="0" fontId="69" fillId="0" borderId="0"/>
    <xf numFmtId="41" fontId="33" fillId="0" borderId="0"/>
  </cellStyleXfs>
  <cellXfs count="7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0" fontId="0" fillId="0" borderId="0" xfId="0" applyFont="1" applyAlignment="1"/>
    <xf numFmtId="0" fontId="7" fillId="0" borderId="0" xfId="0" applyFont="1" applyAlignment="1"/>
    <xf numFmtId="176" fontId="0" fillId="0" borderId="0" xfId="0" applyNumberFormat="1" applyFont="1">
      <alignment vertical="center"/>
    </xf>
    <xf numFmtId="0" fontId="8" fillId="0" borderId="12" xfId="0" applyFont="1" applyBorder="1" applyAlignment="1">
      <alignment horizontal="center" vertical="center"/>
    </xf>
    <xf numFmtId="2" fontId="0" fillId="0" borderId="15" xfId="0" applyNumberFormat="1" applyFont="1" applyBorder="1" applyAlignment="1"/>
    <xf numFmtId="1" fontId="7" fillId="0" borderId="15" xfId="0" applyNumberFormat="1" applyFont="1" applyBorder="1" applyAlignment="1"/>
    <xf numFmtId="10" fontId="0" fillId="0" borderId="15" xfId="0" applyNumberFormat="1" applyFont="1" applyBorder="1" applyAlignment="1"/>
    <xf numFmtId="1" fontId="7" fillId="0" borderId="16" xfId="0" applyNumberFormat="1" applyFont="1" applyBorder="1" applyAlignment="1"/>
    <xf numFmtId="2" fontId="8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2" fontId="0" fillId="0" borderId="16" xfId="0" applyNumberFormat="1" applyBorder="1" applyAlignment="1"/>
    <xf numFmtId="177" fontId="12" fillId="0" borderId="12" xfId="0" applyNumberFormat="1" applyFont="1" applyBorder="1" applyAlignment="1">
      <alignment horizontal="center" vertical="center" wrapText="1"/>
    </xf>
    <xf numFmtId="177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4" fillId="0" borderId="12" xfId="0" applyNumberFormat="1" applyFont="1" applyBorder="1" applyAlignment="1">
      <alignment horizontal="center" vertical="center" wrapText="1"/>
    </xf>
    <xf numFmtId="2" fontId="0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Font="1" applyBorder="1" applyAlignment="1">
      <alignment horizontal="center" vertical="center"/>
    </xf>
    <xf numFmtId="10" fontId="12" fillId="0" borderId="12" xfId="3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3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55" applyNumberFormat="1" applyFont="1" applyBorder="1" applyAlignment="1">
      <alignment vertical="center"/>
    </xf>
    <xf numFmtId="2" fontId="21" fillId="0" borderId="17" xfId="55" applyNumberFormat="1" applyFont="1" applyBorder="1" applyAlignment="1">
      <alignment vertical="center"/>
    </xf>
    <xf numFmtId="2" fontId="22" fillId="0" borderId="6" xfId="51" applyNumberFormat="1" applyFont="1" applyBorder="1" applyAlignment="1">
      <alignment horizontal="right" vertical="center"/>
    </xf>
    <xf numFmtId="2" fontId="21" fillId="0" borderId="17" xfId="55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left" vertical="center" wrapText="1"/>
    </xf>
    <xf numFmtId="10" fontId="0" fillId="0" borderId="12" xfId="0" applyNumberFormat="1" applyBorder="1" applyAlignment="1">
      <alignment horizontal="center" vertical="center"/>
    </xf>
    <xf numFmtId="177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4" fillId="0" borderId="0" xfId="52" applyFont="1" applyAlignment="1">
      <alignment horizontal="center" vertical="center"/>
    </xf>
    <xf numFmtId="0" fontId="0" fillId="0" borderId="0" xfId="0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2" fontId="0" fillId="0" borderId="0" xfId="49" applyNumberFormat="1">
      <alignment vertical="center"/>
    </xf>
    <xf numFmtId="10" fontId="25" fillId="0" borderId="0" xfId="0" applyNumberFormat="1" applyFont="1" applyAlignment="1">
      <alignment horizontal="center"/>
    </xf>
    <xf numFmtId="49" fontId="25" fillId="0" borderId="4" xfId="0" applyNumberFormat="1" applyFont="1" applyBorder="1" applyAlignment="1">
      <alignment horizontal="center" vertical="center" wrapText="1"/>
    </xf>
    <xf numFmtId="177" fontId="25" fillId="0" borderId="5" xfId="0" applyNumberFormat="1" applyFont="1" applyBorder="1" applyAlignment="1">
      <alignment horizontal="center" vertical="center" wrapText="1"/>
    </xf>
    <xf numFmtId="2" fontId="26" fillId="0" borderId="12" xfId="0" applyNumberFormat="1" applyFont="1" applyBorder="1" applyAlignment="1">
      <alignment horizontal="center" vertical="center" wrapText="1"/>
    </xf>
    <xf numFmtId="10" fontId="26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10" fontId="0" fillId="0" borderId="15" xfId="0" applyNumberFormat="1" applyBorder="1" applyAlignment="1"/>
    <xf numFmtId="10" fontId="0" fillId="0" borderId="16" xfId="0" applyNumberFormat="1" applyBorder="1" applyAlignment="1"/>
    <xf numFmtId="2" fontId="27" fillId="0" borderId="12" xfId="0" applyNumberFormat="1" applyFont="1" applyBorder="1" applyAlignment="1">
      <alignment horizontal="center" vertical="center"/>
    </xf>
    <xf numFmtId="177" fontId="20" fillId="0" borderId="12" xfId="0" applyNumberFormat="1" applyFont="1" applyBorder="1" applyAlignment="1">
      <alignment horizontal="center" vertical="center" wrapText="1"/>
    </xf>
    <xf numFmtId="177" fontId="28" fillId="0" borderId="12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6" fontId="1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10" fontId="0" fillId="0" borderId="0" xfId="49" applyNumberFormat="1">
      <alignment vertical="center"/>
    </xf>
    <xf numFmtId="0" fontId="27" fillId="0" borderId="0" xfId="0" applyFont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5" fillId="0" borderId="14" xfId="0" applyNumberFormat="1" applyFont="1" applyBorder="1" applyAlignment="1">
      <alignment horizontal="center" vertical="center" wrapText="1"/>
    </xf>
    <xf numFmtId="177" fontId="15" fillId="0" borderId="5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177" fontId="15" fillId="0" borderId="6" xfId="0" applyNumberFormat="1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/>
    </xf>
    <xf numFmtId="177" fontId="20" fillId="0" borderId="4" xfId="0" applyNumberFormat="1" applyFont="1" applyBorder="1" applyAlignment="1">
      <alignment horizontal="center" vertical="center" wrapText="1"/>
    </xf>
    <xf numFmtId="178" fontId="15" fillId="0" borderId="12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0" fontId="29" fillId="0" borderId="0" xfId="0" applyNumberFormat="1" applyFont="1" applyAlignment="1">
      <alignment horizontal="center" vertical="center"/>
    </xf>
    <xf numFmtId="57" fontId="0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5" fillId="0" borderId="4" xfId="0" applyNumberFormat="1" applyFont="1" applyBorder="1" applyAlignment="1">
      <alignment horizontal="center" vertical="center" wrapText="1"/>
    </xf>
    <xf numFmtId="10" fontId="25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29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6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1" fontId="0" fillId="0" borderId="15" xfId="0" applyNumberFormat="1" applyBorder="1" applyAlignment="1"/>
    <xf numFmtId="10" fontId="7" fillId="0" borderId="15" xfId="0" applyNumberFormat="1" applyFont="1" applyBorder="1" applyAlignment="1"/>
    <xf numFmtId="1" fontId="0" fillId="0" borderId="16" xfId="0" applyNumberFormat="1" applyBorder="1" applyAlignment="1"/>
    <xf numFmtId="10" fontId="7" fillId="0" borderId="16" xfId="0" applyNumberFormat="1" applyFont="1" applyBorder="1" applyAlignment="1"/>
    <xf numFmtId="0" fontId="30" fillId="0" borderId="12" xfId="0" applyFont="1" applyBorder="1" applyAlignment="1">
      <alignment horizontal="center" vertical="center" wrapText="1"/>
    </xf>
    <xf numFmtId="2" fontId="31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1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 wrapText="1"/>
    </xf>
    <xf numFmtId="10" fontId="33" fillId="0" borderId="12" xfId="0" applyNumberFormat="1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2" fontId="16" fillId="0" borderId="0" xfId="0" applyNumberFormat="1" applyFont="1">
      <alignment vertical="center"/>
    </xf>
    <xf numFmtId="176" fontId="16" fillId="0" borderId="12" xfId="0" applyNumberFormat="1" applyFont="1" applyBorder="1" applyAlignment="1">
      <alignment horizontal="center" vertical="center" wrapText="1"/>
    </xf>
    <xf numFmtId="176" fontId="18" fillId="0" borderId="12" xfId="0" applyNumberFormat="1" applyFont="1" applyBorder="1" applyAlignment="1">
      <alignment horizontal="center" vertical="center" wrapText="1"/>
    </xf>
    <xf numFmtId="0" fontId="31" fillId="3" borderId="0" xfId="0" applyFont="1" applyFill="1" applyAlignment="1">
      <alignment wrapText="1"/>
    </xf>
    <xf numFmtId="0" fontId="31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2" applyFont="1" applyBorder="1" applyAlignment="1"/>
    <xf numFmtId="2" fontId="36" fillId="0" borderId="15" xfId="52" applyNumberFormat="1" applyFont="1" applyBorder="1" applyAlignment="1"/>
    <xf numFmtId="10" fontId="36" fillId="0" borderId="15" xfId="52" applyNumberFormat="1" applyFont="1" applyBorder="1" applyAlignment="1"/>
    <xf numFmtId="2" fontId="37" fillId="0" borderId="15" xfId="52" applyNumberFormat="1" applyFont="1" applyBorder="1" applyAlignment="1"/>
    <xf numFmtId="10" fontId="37" fillId="0" borderId="15" xfId="52" applyNumberFormat="1" applyFont="1" applyBorder="1" applyAlignment="1"/>
    <xf numFmtId="177" fontId="36" fillId="0" borderId="15" xfId="52" applyNumberFormat="1" applyFont="1" applyBorder="1" applyAlignment="1"/>
    <xf numFmtId="177" fontId="36" fillId="0" borderId="16" xfId="52" applyNumberFormat="1" applyFont="1" applyBorder="1" applyAlignment="1"/>
    <xf numFmtId="177" fontId="36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8" fillId="0" borderId="12" xfId="0" applyNumberFormat="1" applyFont="1" applyBorder="1" applyAlignment="1">
      <alignment horizontal="center" vertical="center" wrapText="1"/>
    </xf>
    <xf numFmtId="177" fontId="39" fillId="0" borderId="12" xfId="0" applyNumberFormat="1" applyFont="1" applyBorder="1" applyAlignment="1">
      <alignment horizontal="center" vertical="center" wrapText="1"/>
    </xf>
    <xf numFmtId="49" fontId="31" fillId="0" borderId="12" xfId="0" applyNumberFormat="1" applyFont="1" applyBorder="1" applyAlignment="1">
      <alignment horizontal="center" vertical="center" wrapText="1"/>
    </xf>
    <xf numFmtId="10" fontId="31" fillId="0" borderId="12" xfId="0" applyNumberFormat="1" applyFont="1" applyBorder="1" applyAlignment="1">
      <alignment horizontal="center" vertical="center" wrapText="1"/>
    </xf>
    <xf numFmtId="57" fontId="31" fillId="0" borderId="12" xfId="0" applyNumberFormat="1" applyFont="1" applyBorder="1" applyAlignment="1">
      <alignment horizontal="center" vertical="center" wrapText="1"/>
    </xf>
    <xf numFmtId="176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177" fontId="31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32" fillId="0" borderId="12" xfId="0" applyFont="1" applyBorder="1" applyAlignment="1">
      <alignment horizontal="center"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8" fillId="2" borderId="0" xfId="0" applyFont="1" applyFill="1" applyAlignment="1"/>
    <xf numFmtId="0" fontId="27" fillId="0" borderId="1" xfId="0" applyFont="1" applyBorder="1" applyAlignment="1">
      <alignment horizontal="center" vertical="center"/>
    </xf>
    <xf numFmtId="176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0" fontId="19" fillId="0" borderId="0" xfId="0" applyNumberFormat="1" applyFont="1" applyAlignment="1"/>
    <xf numFmtId="176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79" fontId="20" fillId="0" borderId="0" xfId="0" applyNumberFormat="1" applyFont="1" applyAlignment="1"/>
    <xf numFmtId="178" fontId="20" fillId="0" borderId="0" xfId="0" applyNumberFormat="1" applyFont="1" applyAlignment="1"/>
    <xf numFmtId="178" fontId="20" fillId="0" borderId="0" xfId="0" applyNumberFormat="1" applyFont="1" applyAlignment="1">
      <alignment horizontal="center" vertical="center"/>
    </xf>
    <xf numFmtId="177" fontId="20" fillId="0" borderId="3" xfId="0" applyNumberFormat="1" applyFont="1" applyBorder="1" applyAlignment="1">
      <alignment horizontal="center" vertical="center" wrapText="1"/>
    </xf>
    <xf numFmtId="177" fontId="28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10" fontId="15" fillId="0" borderId="30" xfId="0" applyNumberFormat="1" applyFont="1" applyBorder="1" applyAlignment="1">
      <alignment horizontal="center" vertical="center" wrapText="1"/>
    </xf>
    <xf numFmtId="57" fontId="15" fillId="0" borderId="30" xfId="0" applyNumberFormat="1" applyFont="1" applyBorder="1" applyAlignment="1">
      <alignment horizontal="center" vertical="center" wrapText="1"/>
    </xf>
    <xf numFmtId="176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80" fontId="15" fillId="0" borderId="12" xfId="0" applyNumberFormat="1" applyFont="1" applyBorder="1" applyAlignment="1">
      <alignment horizontal="center" vertical="center" wrapText="1"/>
    </xf>
    <xf numFmtId="180" fontId="15" fillId="0" borderId="14" xfId="0" applyNumberFormat="1" applyFont="1" applyBorder="1" applyAlignment="1">
      <alignment horizontal="center" vertical="center" wrapText="1"/>
    </xf>
    <xf numFmtId="57" fontId="15" fillId="0" borderId="33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7" fontId="15" fillId="0" borderId="10" xfId="0" applyNumberFormat="1" applyFont="1" applyBorder="1" applyAlignment="1">
      <alignment horizontal="center" vertical="center" wrapText="1"/>
    </xf>
    <xf numFmtId="57" fontId="19" fillId="0" borderId="16" xfId="0" applyNumberFormat="1" applyFont="1" applyBorder="1" applyAlignment="1">
      <alignment horizontal="center"/>
    </xf>
    <xf numFmtId="57" fontId="15" fillId="0" borderId="12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57" fontId="15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5" fillId="0" borderId="3" xfId="0" applyNumberFormat="1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57" fontId="15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4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10" fontId="15" fillId="0" borderId="33" xfId="0" applyNumberFormat="1" applyFont="1" applyBorder="1" applyAlignment="1">
      <alignment horizontal="center" vertical="center" wrapText="1"/>
    </xf>
    <xf numFmtId="2" fontId="0" fillId="0" borderId="35" xfId="0" applyNumberFormat="1" applyBorder="1" applyAlignment="1"/>
    <xf numFmtId="10" fontId="0" fillId="0" borderId="35" xfId="0" applyNumberFormat="1" applyBorder="1" applyAlignment="1"/>
    <xf numFmtId="176" fontId="15" fillId="0" borderId="3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0" fillId="0" borderId="12" xfId="0" applyNumberFormat="1" applyBorder="1" applyAlignment="1"/>
    <xf numFmtId="10" fontId="0" fillId="0" borderId="36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177" fontId="19" fillId="0" borderId="25" xfId="0" applyNumberFormat="1" applyFont="1" applyBorder="1" applyAlignment="1">
      <alignment horizontal="center" vertical="center" wrapText="1"/>
    </xf>
    <xf numFmtId="177" fontId="19" fillId="0" borderId="14" xfId="0" applyNumberFormat="1" applyFont="1" applyBorder="1" applyAlignment="1">
      <alignment horizontal="center" vertical="center" wrapText="1"/>
    </xf>
    <xf numFmtId="177" fontId="15" fillId="0" borderId="17" xfId="0" applyNumberFormat="1" applyFont="1" applyBorder="1" applyAlignment="1">
      <alignment horizontal="center" vertical="center" wrapText="1"/>
    </xf>
    <xf numFmtId="177" fontId="15" fillId="0" borderId="37" xfId="0" applyNumberFormat="1" applyFont="1" applyBorder="1" applyAlignment="1">
      <alignment horizontal="center" vertical="center" wrapText="1"/>
    </xf>
    <xf numFmtId="177" fontId="19" fillId="0" borderId="16" xfId="0" applyNumberFormat="1" applyFont="1" applyBorder="1" applyAlignment="1">
      <alignment horizontal="center" vertical="center" wrapText="1"/>
    </xf>
    <xf numFmtId="177" fontId="19" fillId="0" borderId="27" xfId="0" applyNumberFormat="1" applyFont="1" applyBorder="1" applyAlignment="1">
      <alignment horizontal="center" vertical="center" wrapText="1"/>
    </xf>
    <xf numFmtId="177" fontId="19" fillId="0" borderId="28" xfId="0" applyNumberFormat="1" applyFont="1" applyBorder="1" applyAlignment="1">
      <alignment horizontal="center" vertical="center" wrapText="1"/>
    </xf>
    <xf numFmtId="177" fontId="15" fillId="0" borderId="29" xfId="0" applyNumberFormat="1" applyFont="1" applyBorder="1" applyAlignment="1">
      <alignment horizontal="center" vertical="center" wrapText="1"/>
    </xf>
    <xf numFmtId="177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38" xfId="0" applyNumberFormat="1" applyFont="1" applyBorder="1" applyAlignment="1">
      <alignment horizontal="center" vertical="center" wrapText="1"/>
    </xf>
    <xf numFmtId="57" fontId="19" fillId="0" borderId="38" xfId="0" applyNumberFormat="1" applyFont="1" applyBorder="1" applyAlignment="1">
      <alignment horizontal="center" vertical="center" wrapText="1"/>
    </xf>
    <xf numFmtId="57" fontId="19" fillId="0" borderId="39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5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8" fillId="0" borderId="16" xfId="0" applyNumberFormat="1" applyFont="1" applyBorder="1" applyAlignment="1">
      <alignment horizontal="center" vertical="center"/>
    </xf>
    <xf numFmtId="10" fontId="28" fillId="0" borderId="12" xfId="0" applyNumberFormat="1" applyFont="1" applyBorder="1" applyAlignment="1">
      <alignment horizontal="center" vertical="center"/>
    </xf>
    <xf numFmtId="2" fontId="28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10" fontId="20" fillId="0" borderId="40" xfId="0" applyNumberFormat="1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8" fillId="0" borderId="27" xfId="0" applyNumberFormat="1" applyFont="1" applyBorder="1" applyAlignment="1">
      <alignment horizontal="center" vertical="center" wrapText="1"/>
    </xf>
    <xf numFmtId="10" fontId="28" fillId="0" borderId="29" xfId="0" applyNumberFormat="1" applyFont="1" applyBorder="1" applyAlignment="1">
      <alignment horizontal="center" vertical="center" wrapText="1"/>
    </xf>
    <xf numFmtId="2" fontId="28" fillId="0" borderId="12" xfId="0" applyNumberFormat="1" applyFont="1" applyBorder="1" applyAlignment="1">
      <alignment horizontal="center" vertical="center" wrapText="1"/>
    </xf>
    <xf numFmtId="10" fontId="28" fillId="0" borderId="36" xfId="0" applyNumberFormat="1" applyFont="1" applyBorder="1" applyAlignment="1">
      <alignment horizontal="center" vertical="center" wrapText="1"/>
    </xf>
    <xf numFmtId="10" fontId="28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7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2" fontId="0" fillId="0" borderId="39" xfId="0" applyNumberFormat="1" applyBorder="1" applyAlignment="1"/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29" xfId="0" applyNumberFormat="1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6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6" fontId="19" fillId="0" borderId="9" xfId="0" applyNumberFormat="1" applyFont="1" applyBorder="1" applyAlignment="1">
      <alignment horizontal="center" vertical="center"/>
    </xf>
    <xf numFmtId="176" fontId="19" fillId="0" borderId="6" xfId="0" applyNumberFormat="1" applyFont="1" applyBorder="1" applyAlignment="1">
      <alignment horizontal="center" vertical="center"/>
    </xf>
    <xf numFmtId="180" fontId="19" fillId="0" borderId="12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vertical="center" wrapText="1"/>
    </xf>
    <xf numFmtId="2" fontId="19" fillId="0" borderId="12" xfId="0" applyNumberFormat="1" applyFont="1" applyFill="1" applyBorder="1" applyAlignment="1">
      <alignment vertical="center" wrapText="1"/>
    </xf>
    <xf numFmtId="178" fontId="19" fillId="0" borderId="16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177" fontId="19" fillId="0" borderId="12" xfId="0" applyNumberFormat="1" applyFont="1" applyBorder="1" applyAlignment="1">
      <alignment horizontal="center" vertical="center" wrapText="1"/>
    </xf>
    <xf numFmtId="177" fontId="19" fillId="0" borderId="4" xfId="0" applyNumberFormat="1" applyFont="1" applyBorder="1" applyAlignment="1">
      <alignment horizontal="center" vertical="center" wrapText="1"/>
    </xf>
    <xf numFmtId="2" fontId="19" fillId="0" borderId="41" xfId="0" applyNumberFormat="1" applyFont="1" applyBorder="1" applyAlignment="1">
      <alignment horizontal="center" vertical="center" wrapText="1"/>
    </xf>
    <xf numFmtId="176" fontId="19" fillId="0" borderId="16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vertical="center" wrapText="1"/>
    </xf>
    <xf numFmtId="2" fontId="42" fillId="0" borderId="29" xfId="0" applyNumberFormat="1" applyFont="1" applyBorder="1" applyAlignment="1">
      <alignment horizontal="center" vertical="center" wrapText="1"/>
    </xf>
    <xf numFmtId="176" fontId="42" fillId="0" borderId="12" xfId="0" applyNumberFormat="1" applyFont="1" applyBorder="1" applyAlignment="1">
      <alignment horizontal="center" vertical="center" wrapText="1"/>
    </xf>
    <xf numFmtId="176" fontId="42" fillId="0" borderId="12" xfId="0" applyNumberFormat="1" applyFont="1" applyBorder="1" applyAlignment="1">
      <alignment horizontal="center" vertical="center"/>
    </xf>
    <xf numFmtId="176" fontId="42" fillId="0" borderId="16" xfId="0" applyNumberFormat="1" applyFont="1" applyBorder="1" applyAlignment="1">
      <alignment horizontal="center"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20" fillId="0" borderId="33" xfId="0" applyNumberFormat="1" applyFont="1" applyBorder="1" applyAlignment="1">
      <alignment horizontal="center" vertical="center" wrapText="1"/>
    </xf>
    <xf numFmtId="2" fontId="19" fillId="0" borderId="43" xfId="0" applyNumberFormat="1" applyFont="1" applyBorder="1" applyAlignment="1">
      <alignment horizontal="center" vertical="center"/>
    </xf>
    <xf numFmtId="2" fontId="19" fillId="0" borderId="33" xfId="0" applyNumberFormat="1" applyFont="1" applyBorder="1" applyAlignment="1">
      <alignment horizontal="center" vertical="center"/>
    </xf>
    <xf numFmtId="10" fontId="19" fillId="0" borderId="33" xfId="0" applyNumberFormat="1" applyFont="1" applyBorder="1" applyAlignment="1">
      <alignment horizontal="center" vertical="center" wrapText="1"/>
    </xf>
    <xf numFmtId="2" fontId="28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8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0" fontId="20" fillId="0" borderId="9" xfId="0" applyNumberFormat="1" applyFont="1" applyBorder="1" applyAlignment="1">
      <alignment horizontal="center" vertical="center" wrapText="1"/>
    </xf>
    <xf numFmtId="10" fontId="20" fillId="0" borderId="36" xfId="0" applyNumberFormat="1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8" fillId="0" borderId="18" xfId="0" applyNumberFormat="1" applyFont="1" applyBorder="1" applyAlignment="1">
      <alignment horizontal="center" vertical="center" wrapText="1"/>
    </xf>
    <xf numFmtId="2" fontId="28" fillId="0" borderId="40" xfId="0" applyNumberFormat="1" applyFont="1" applyBorder="1" applyAlignment="1">
      <alignment horizontal="center" vertical="center" wrapText="1"/>
    </xf>
    <xf numFmtId="10" fontId="28" fillId="0" borderId="4" xfId="0" applyNumberFormat="1" applyFont="1" applyBorder="1" applyAlignment="1">
      <alignment horizontal="center" vertical="center" wrapText="1"/>
    </xf>
    <xf numFmtId="10" fontId="28" fillId="0" borderId="40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0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3" xfId="0" applyNumberFormat="1" applyFont="1" applyBorder="1" applyAlignment="1">
      <alignment horizontal="center" vertical="center"/>
    </xf>
    <xf numFmtId="10" fontId="19" fillId="0" borderId="35" xfId="0" applyNumberFormat="1" applyFont="1" applyBorder="1" applyAlignment="1">
      <alignment horizontal="center" vertical="center"/>
    </xf>
    <xf numFmtId="10" fontId="19" fillId="0" borderId="33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3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0" fontId="20" fillId="0" borderId="4" xfId="0" applyNumberFormat="1" applyFont="1" applyBorder="1" applyAlignment="1">
      <alignment horizontal="center" vertical="center" wrapText="1"/>
    </xf>
    <xf numFmtId="176" fontId="20" fillId="0" borderId="6" xfId="0" applyNumberFormat="1" applyFont="1" applyBorder="1" applyAlignment="1">
      <alignment horizontal="center" vertical="center" wrapText="1"/>
    </xf>
    <xf numFmtId="0" fontId="35" fillId="0" borderId="4" xfId="0" applyNumberFormat="1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35" fillId="0" borderId="12" xfId="0" applyNumberFormat="1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177" fontId="19" fillId="0" borderId="21" xfId="0" applyNumberFormat="1" applyFont="1" applyBorder="1" applyAlignment="1">
      <alignment horizontal="center" vertical="center" wrapText="1"/>
    </xf>
    <xf numFmtId="177" fontId="19" fillId="0" borderId="9" xfId="0" applyNumberFormat="1" applyFont="1" applyBorder="1" applyAlignment="1">
      <alignment horizontal="center" vertical="center" wrapText="1"/>
    </xf>
    <xf numFmtId="178" fontId="19" fillId="0" borderId="9" xfId="0" applyNumberFormat="1" applyFont="1" applyBorder="1" applyAlignment="1">
      <alignment horizontal="center" vertical="center" wrapText="1"/>
    </xf>
    <xf numFmtId="10" fontId="19" fillId="0" borderId="36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76" fontId="19" fillId="0" borderId="8" xfId="0" applyNumberFormat="1" applyFont="1" applyBorder="1" applyAlignment="1">
      <alignment horizontal="center" vertical="center" wrapText="1"/>
    </xf>
    <xf numFmtId="10" fontId="15" fillId="0" borderId="18" xfId="0" applyNumberFormat="1" applyFont="1" applyBorder="1" applyAlignment="1">
      <alignment horizontal="center" vertical="center" wrapText="1"/>
    </xf>
    <xf numFmtId="176" fontId="15" fillId="0" borderId="18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right" vertical="center"/>
    </xf>
    <xf numFmtId="176" fontId="35" fillId="0" borderId="9" xfId="0" applyNumberFormat="1" applyFont="1" applyBorder="1" applyAlignment="1">
      <alignment horizontal="right" vertical="center"/>
    </xf>
    <xf numFmtId="2" fontId="19" fillId="0" borderId="9" xfId="0" applyNumberFormat="1" applyFont="1" applyBorder="1" applyAlignment="1">
      <alignment horizontal="center" vertical="center" wrapText="1"/>
    </xf>
    <xf numFmtId="4" fontId="19" fillId="0" borderId="9" xfId="0" applyNumberFormat="1" applyFont="1" applyBorder="1" applyAlignment="1">
      <alignment horizontal="center" vertical="center" wrapText="1"/>
    </xf>
    <xf numFmtId="176" fontId="42" fillId="0" borderId="14" xfId="0" applyNumberFormat="1" applyFont="1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178" fontId="35" fillId="0" borderId="18" xfId="0" applyNumberFormat="1" applyFont="1" applyBorder="1" applyAlignment="1">
      <alignment vertical="center" wrapText="1"/>
    </xf>
    <xf numFmtId="4" fontId="19" fillId="0" borderId="18" xfId="0" applyNumberFormat="1" applyFont="1" applyBorder="1" applyAlignment="1">
      <alignment horizontal="center" vertical="center" wrapText="1"/>
    </xf>
    <xf numFmtId="177" fontId="15" fillId="0" borderId="21" xfId="0" applyNumberFormat="1" applyFont="1" applyBorder="1" applyAlignment="1">
      <alignment horizontal="center" vertical="center" wrapText="1"/>
    </xf>
    <xf numFmtId="178" fontId="35" fillId="0" borderId="9" xfId="0" applyNumberFormat="1" applyFont="1" applyBorder="1" applyAlignment="1">
      <alignment vertical="center" wrapText="1"/>
    </xf>
    <xf numFmtId="176" fontId="46" fillId="0" borderId="6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8" fillId="0" borderId="16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 applyAlignment="1">
      <alignment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2" fontId="20" fillId="0" borderId="18" xfId="0" applyNumberFormat="1" applyFont="1" applyBorder="1" applyAlignment="1">
      <alignment horizontal="center" vertical="center"/>
    </xf>
    <xf numFmtId="10" fontId="28" fillId="0" borderId="12" xfId="0" applyNumberFormat="1" applyFont="1" applyBorder="1" applyAlignment="1">
      <alignment horizontal="center" vertical="center" wrapText="1"/>
    </xf>
    <xf numFmtId="2" fontId="28" fillId="0" borderId="4" xfId="0" applyNumberFormat="1" applyFont="1" applyBorder="1" applyAlignment="1">
      <alignment horizontal="center" vertical="center" wrapText="1"/>
    </xf>
    <xf numFmtId="2" fontId="28" fillId="0" borderId="21" xfId="0" applyNumberFormat="1" applyFont="1" applyBorder="1" applyAlignment="1">
      <alignment horizontal="center" vertical="center" wrapText="1"/>
    </xf>
    <xf numFmtId="2" fontId="28" fillId="0" borderId="9" xfId="0" applyNumberFormat="1" applyFont="1" applyBorder="1" applyAlignment="1">
      <alignment horizontal="center" vertical="center" wrapText="1"/>
    </xf>
    <xf numFmtId="177" fontId="28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2" applyNumberFormat="1" applyBorder="1" applyAlignment="1">
      <alignment horizontal="center" vertical="center"/>
    </xf>
    <xf numFmtId="2" fontId="35" fillId="0" borderId="4" xfId="52" applyNumberFormat="1" applyFont="1" applyBorder="1">
      <alignment vertical="center"/>
    </xf>
    <xf numFmtId="2" fontId="35" fillId="0" borderId="3" xfId="52" applyNumberFormat="1" applyFont="1" applyBorder="1">
      <alignment vertical="center"/>
    </xf>
    <xf numFmtId="2" fontId="15" fillId="0" borderId="33" xfId="0" applyNumberFormat="1" applyFont="1" applyBorder="1" applyAlignment="1">
      <alignment horizontal="center" vertical="center" wrapText="1"/>
    </xf>
    <xf numFmtId="2" fontId="33" fillId="0" borderId="12" xfId="52" applyNumberFormat="1" applyBorder="1" applyAlignment="1">
      <alignment horizontal="center" vertical="center" wrapText="1"/>
    </xf>
    <xf numFmtId="2" fontId="35" fillId="0" borderId="12" xfId="52" applyNumberFormat="1" applyFont="1" applyBorder="1" applyAlignment="1">
      <alignment vertical="center" wrapText="1"/>
    </xf>
    <xf numFmtId="2" fontId="35" fillId="0" borderId="28" xfId="52" applyNumberFormat="1" applyFont="1" applyBorder="1" applyAlignment="1">
      <alignment vertical="center" wrapText="1"/>
    </xf>
    <xf numFmtId="177" fontId="33" fillId="0" borderId="9" xfId="52" applyNumberFormat="1" applyBorder="1" applyAlignment="1">
      <alignment horizontal="center" vertical="center" wrapText="1"/>
    </xf>
    <xf numFmtId="178" fontId="35" fillId="0" borderId="9" xfId="52" applyNumberFormat="1" applyFont="1" applyBorder="1" applyAlignment="1">
      <alignment vertical="center" wrapText="1"/>
    </xf>
    <xf numFmtId="178" fontId="35" fillId="0" borderId="21" xfId="52" applyNumberFormat="1" applyFont="1" applyBorder="1" applyAlignment="1">
      <alignment vertical="center" wrapText="1"/>
    </xf>
    <xf numFmtId="2" fontId="28" fillId="0" borderId="18" xfId="0" applyNumberFormat="1" applyFont="1" applyBorder="1" applyAlignment="1">
      <alignment horizontal="center" vertical="center" wrapText="1"/>
    </xf>
    <xf numFmtId="0" fontId="28" fillId="0" borderId="18" xfId="0" applyNumberFormat="1" applyFont="1" applyBorder="1" applyAlignment="1">
      <alignment horizontal="center"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0" fontId="28" fillId="0" borderId="12" xfId="0" applyNumberFormat="1" applyFont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 wrapText="1"/>
    </xf>
    <xf numFmtId="0" fontId="28" fillId="0" borderId="12" xfId="0" applyNumberFormat="1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0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/>
    </xf>
    <xf numFmtId="2" fontId="15" fillId="0" borderId="18" xfId="0" applyNumberFormat="1" applyFont="1" applyBorder="1" applyAlignment="1">
      <alignment horizontal="center" vertical="center" wrapText="1"/>
    </xf>
    <xf numFmtId="4" fontId="15" fillId="0" borderId="18" xfId="0" applyNumberFormat="1" applyFont="1" applyBorder="1" applyAlignment="1">
      <alignment horizontal="center" vertical="center" wrapText="1"/>
    </xf>
    <xf numFmtId="178" fontId="35" fillId="0" borderId="18" xfId="0" applyNumberFormat="1" applyFont="1" applyBorder="1">
      <alignment vertical="center"/>
    </xf>
    <xf numFmtId="176" fontId="19" fillId="0" borderId="18" xfId="0" applyNumberFormat="1" applyFont="1" applyBorder="1" applyAlignment="1">
      <alignment horizontal="center" vertical="center" wrapText="1"/>
    </xf>
    <xf numFmtId="178" fontId="35" fillId="0" borderId="9" xfId="0" applyNumberFormat="1" applyFont="1" applyBorder="1">
      <alignment vertical="center"/>
    </xf>
    <xf numFmtId="176" fontId="42" fillId="0" borderId="6" xfId="0" applyNumberFormat="1" applyFont="1" applyBorder="1" applyAlignment="1">
      <alignment horizontal="center" vertical="center"/>
    </xf>
    <xf numFmtId="2" fontId="44" fillId="0" borderId="21" xfId="0" applyNumberFormat="1" applyFont="1" applyBorder="1" applyAlignment="1">
      <alignment horizontal="center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2" fontId="35" fillId="0" borderId="25" xfId="0" applyNumberFormat="1" applyFont="1" applyBorder="1" applyAlignment="1">
      <alignment horizontal="center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3" fontId="35" fillId="0" borderId="16" xfId="0" applyNumberFormat="1" applyFont="1" applyBorder="1" applyAlignment="1">
      <alignment horizontal="center"/>
    </xf>
    <xf numFmtId="49" fontId="35" fillId="0" borderId="12" xfId="0" applyNumberFormat="1" applyFont="1" applyBorder="1" applyAlignment="1">
      <alignment horizontal="center"/>
    </xf>
    <xf numFmtId="0" fontId="44" fillId="0" borderId="9" xfId="0" applyNumberFormat="1" applyFont="1" applyBorder="1" applyAlignment="1">
      <alignment horizontal="center"/>
    </xf>
    <xf numFmtId="176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6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2" fontId="44" fillId="0" borderId="22" xfId="0" applyNumberFormat="1" applyFont="1" applyBorder="1" applyAlignment="1">
      <alignment horizontal="center"/>
    </xf>
    <xf numFmtId="0" fontId="44" fillId="0" borderId="4" xfId="0" applyNumberFormat="1" applyFont="1" applyBorder="1" applyAlignment="1">
      <alignment horizontal="center"/>
    </xf>
    <xf numFmtId="177" fontId="20" fillId="0" borderId="10" xfId="0" applyNumberFormat="1" applyFont="1" applyBorder="1" applyAlignment="1">
      <alignment horizontal="left" vertical="center" wrapText="1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177" fontId="19" fillId="0" borderId="10" xfId="0" applyNumberFormat="1" applyFont="1" applyBorder="1" applyAlignment="1">
      <alignment horizontal="left" vertical="center" wrapText="1"/>
    </xf>
    <xf numFmtId="176" fontId="15" fillId="0" borderId="9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>
      <alignment vertical="center"/>
    </xf>
    <xf numFmtId="0" fontId="28" fillId="0" borderId="9" xfId="0" applyNumberFormat="1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2" fontId="28" fillId="0" borderId="22" xfId="0" applyNumberFormat="1" applyFont="1" applyBorder="1" applyAlignment="1">
      <alignment horizontal="center" vertical="center" wrapText="1"/>
    </xf>
    <xf numFmtId="0" fontId="28" fillId="0" borderId="4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8" fillId="0" borderId="9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3" xfId="0" applyNumberFormat="1" applyFont="1" applyBorder="1" applyAlignment="1">
      <alignment horizontal="center" vertical="center" wrapText="1"/>
    </xf>
    <xf numFmtId="10" fontId="19" fillId="0" borderId="45" xfId="0" applyNumberFormat="1" applyFont="1" applyBorder="1" applyAlignment="1">
      <alignment horizontal="center" vertical="center" wrapText="1"/>
    </xf>
    <xf numFmtId="176" fontId="19" fillId="0" borderId="0" xfId="0" applyNumberFormat="1" applyFont="1" applyAlignment="1"/>
    <xf numFmtId="0" fontId="19" fillId="2" borderId="0" xfId="0" applyFont="1" applyFill="1" applyBorder="1" applyAlignment="1"/>
    <xf numFmtId="10" fontId="19" fillId="0" borderId="0" xfId="0" applyNumberFormat="1" applyFont="1" applyBorder="1" applyAlignment="1"/>
    <xf numFmtId="2" fontId="0" fillId="0" borderId="0" xfId="49" applyNumberFormat="1" applyBorder="1">
      <alignment vertical="center"/>
    </xf>
    <xf numFmtId="178" fontId="19" fillId="0" borderId="0" xfId="0" applyNumberFormat="1" applyFont="1" applyBorder="1" applyAlignment="1"/>
    <xf numFmtId="178" fontId="19" fillId="0" borderId="0" xfId="0" applyNumberFormat="1" applyFont="1" applyAlignment="1"/>
    <xf numFmtId="179" fontId="19" fillId="0" borderId="0" xfId="0" applyNumberFormat="1" applyFont="1" applyAlignment="1"/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/>
    <xf numFmtId="49" fontId="19" fillId="0" borderId="0" xfId="0" applyNumberFormat="1" applyFont="1" applyAlignment="1"/>
    <xf numFmtId="0" fontId="0" fillId="0" borderId="0" xfId="0" applyBorder="1" applyAlignment="1"/>
    <xf numFmtId="0" fontId="7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31" fillId="0" borderId="12" xfId="0" applyNumberFormat="1" applyFont="1" applyBorder="1" applyAlignment="1">
      <alignment horizontal="center" vertical="center" wrapText="1"/>
    </xf>
    <xf numFmtId="179" fontId="31" fillId="0" borderId="12" xfId="0" applyNumberFormat="1" applyFont="1" applyBorder="1" applyAlignment="1">
      <alignment horizontal="center" vertical="center" wrapText="1"/>
    </xf>
    <xf numFmtId="10" fontId="31" fillId="0" borderId="0" xfId="0" applyNumberFormat="1" applyFont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4" xfId="0" applyNumberFormat="1" applyFont="1" applyBorder="1" applyAlignment="1">
      <alignment horizontal="center" vertical="center" wrapText="1"/>
    </xf>
    <xf numFmtId="57" fontId="31" fillId="0" borderId="4" xfId="0" applyNumberFormat="1" applyFont="1" applyBorder="1" applyAlignment="1">
      <alignment horizontal="center" vertical="center" wrapText="1"/>
    </xf>
    <xf numFmtId="10" fontId="31" fillId="0" borderId="32" xfId="0" applyNumberFormat="1" applyFont="1" applyBorder="1" applyAlignment="1">
      <alignment horizontal="center" vertical="center" wrapText="1"/>
    </xf>
    <xf numFmtId="10" fontId="31" fillId="0" borderId="10" xfId="0" applyNumberFormat="1" applyFont="1" applyBorder="1" applyAlignment="1">
      <alignment horizontal="center" vertical="center" wrapText="1"/>
    </xf>
    <xf numFmtId="177" fontId="31" fillId="0" borderId="16" xfId="0" applyNumberFormat="1" applyFont="1" applyBorder="1" applyAlignment="1">
      <alignment horizontal="center" vertical="center" wrapText="1"/>
    </xf>
    <xf numFmtId="10" fontId="31" fillId="0" borderId="14" xfId="0" applyNumberFormat="1" applyFont="1" applyBorder="1" applyAlignment="1">
      <alignment horizontal="center" vertical="center" wrapText="1"/>
    </xf>
    <xf numFmtId="180" fontId="31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0" fontId="31" fillId="0" borderId="14" xfId="0" applyNumberFormat="1" applyFont="1" applyBorder="1" applyAlignment="1">
      <alignment horizontal="center" vertical="center" wrapText="1"/>
    </xf>
    <xf numFmtId="57" fontId="31" fillId="0" borderId="33" xfId="0" applyNumberFormat="1" applyFont="1" applyBorder="1" applyAlignment="1">
      <alignment horizontal="center" vertical="center" wrapText="1"/>
    </xf>
    <xf numFmtId="49" fontId="31" fillId="0" borderId="19" xfId="0" applyNumberFormat="1" applyFont="1" applyBorder="1" applyAlignment="1">
      <alignment horizontal="center" vertical="center" wrapText="1"/>
    </xf>
    <xf numFmtId="177" fontId="31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7" fontId="31" fillId="0" borderId="10" xfId="0" applyNumberFormat="1" applyFont="1" applyBorder="1" applyAlignment="1">
      <alignment horizontal="center" vertical="center" wrapText="1"/>
    </xf>
    <xf numFmtId="57" fontId="33" fillId="0" borderId="16" xfId="0" applyNumberFormat="1" applyFont="1" applyBorder="1" applyAlignment="1">
      <alignment horizontal="center"/>
    </xf>
    <xf numFmtId="57" fontId="31" fillId="0" borderId="12" xfId="0" applyNumberFormat="1" applyFont="1" applyBorder="1" applyAlignment="1">
      <alignment horizontal="center"/>
    </xf>
    <xf numFmtId="2" fontId="31" fillId="0" borderId="12" xfId="0" applyNumberFormat="1" applyFont="1" applyBorder="1" applyAlignment="1">
      <alignment horizontal="center"/>
    </xf>
    <xf numFmtId="2" fontId="31" fillId="0" borderId="6" xfId="0" applyNumberFormat="1" applyFont="1" applyBorder="1" applyAlignment="1">
      <alignment horizontal="center"/>
    </xf>
    <xf numFmtId="177" fontId="31" fillId="0" borderId="6" xfId="0" applyNumberFormat="1" applyFont="1" applyBorder="1" applyAlignment="1">
      <alignment horizontal="center" vertical="center" wrapText="1"/>
    </xf>
    <xf numFmtId="57" fontId="31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31" fillId="0" borderId="3" xfId="0" applyNumberFormat="1" applyFont="1" applyBorder="1" applyAlignment="1">
      <alignment horizontal="center"/>
    </xf>
    <xf numFmtId="0" fontId="31" fillId="0" borderId="34" xfId="0" applyFont="1" applyBorder="1" applyAlignment="1">
      <alignment horizontal="center"/>
    </xf>
    <xf numFmtId="57" fontId="31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31" fillId="0" borderId="14" xfId="0" applyNumberFormat="1" applyFont="1" applyBorder="1" applyAlignment="1">
      <alignment horizontal="center"/>
    </xf>
    <xf numFmtId="2" fontId="0" fillId="0" borderId="36" xfId="0" applyNumberFormat="1" applyBorder="1" applyAlignment="1"/>
    <xf numFmtId="57" fontId="0" fillId="0" borderId="35" xfId="0" applyNumberFormat="1" applyBorder="1" applyAlignment="1"/>
    <xf numFmtId="2" fontId="0" fillId="0" borderId="17" xfId="0" applyNumberFormat="1" applyBorder="1" applyAlignment="1"/>
    <xf numFmtId="177" fontId="33" fillId="0" borderId="25" xfId="0" applyNumberFormat="1" applyFont="1" applyBorder="1" applyAlignment="1">
      <alignment horizontal="center" vertical="center" wrapText="1"/>
    </xf>
    <xf numFmtId="177" fontId="33" fillId="0" borderId="14" xfId="0" applyNumberFormat="1" applyFont="1" applyBorder="1" applyAlignment="1">
      <alignment horizontal="center" vertical="center" wrapText="1"/>
    </xf>
    <xf numFmtId="177" fontId="31" fillId="0" borderId="17" xfId="0" applyNumberFormat="1" applyFont="1" applyBorder="1" applyAlignment="1">
      <alignment horizontal="center" vertical="center" wrapText="1"/>
    </xf>
    <xf numFmtId="177" fontId="31" fillId="0" borderId="37" xfId="0" applyNumberFormat="1" applyFont="1" applyBorder="1" applyAlignment="1">
      <alignment horizontal="center" vertical="center" wrapText="1"/>
    </xf>
    <xf numFmtId="177" fontId="33" fillId="0" borderId="16" xfId="0" applyNumberFormat="1" applyFont="1" applyBorder="1" applyAlignment="1">
      <alignment horizontal="center" vertical="center" wrapText="1"/>
    </xf>
    <xf numFmtId="177" fontId="33" fillId="0" borderId="27" xfId="0" applyNumberFormat="1" applyFont="1" applyBorder="1" applyAlignment="1">
      <alignment horizontal="center" vertical="center" wrapText="1"/>
    </xf>
    <xf numFmtId="177" fontId="33" fillId="0" borderId="28" xfId="0" applyNumberFormat="1" applyFont="1" applyBorder="1" applyAlignment="1">
      <alignment horizontal="center" vertical="center" wrapText="1"/>
    </xf>
    <xf numFmtId="177" fontId="31" fillId="0" borderId="29" xfId="0" applyNumberFormat="1" applyFont="1" applyBorder="1" applyAlignment="1">
      <alignment horizontal="center" vertical="center" wrapText="1"/>
    </xf>
    <xf numFmtId="177" fontId="31" fillId="0" borderId="27" xfId="0" applyNumberFormat="1" applyFont="1" applyBorder="1" applyAlignment="1">
      <alignment horizontal="center" vertical="center" wrapText="1"/>
    </xf>
    <xf numFmtId="57" fontId="31" fillId="0" borderId="5" xfId="0" applyNumberFormat="1" applyFont="1" applyBorder="1" applyAlignment="1">
      <alignment horizontal="center" vertical="center" wrapText="1"/>
    </xf>
    <xf numFmtId="57" fontId="31" fillId="0" borderId="23" xfId="0" applyNumberFormat="1" applyFont="1" applyBorder="1" applyAlignment="1">
      <alignment horizontal="center" vertical="center" wrapText="1"/>
    </xf>
    <xf numFmtId="57" fontId="31" fillId="0" borderId="38" xfId="0" applyNumberFormat="1" applyFont="1" applyBorder="1" applyAlignment="1">
      <alignment horizontal="center" vertical="center" wrapText="1"/>
    </xf>
    <xf numFmtId="57" fontId="33" fillId="0" borderId="38" xfId="0" applyNumberFormat="1" applyFont="1" applyBorder="1" applyAlignment="1">
      <alignment horizontal="center" vertical="center" wrapText="1"/>
    </xf>
    <xf numFmtId="57" fontId="31" fillId="0" borderId="24" xfId="0" applyNumberFormat="1" applyFont="1" applyBorder="1" applyAlignment="1">
      <alignment horizontal="center" vertical="center" wrapText="1"/>
    </xf>
    <xf numFmtId="0" fontId="31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1" fontId="1" fillId="0" borderId="0" xfId="0" applyNumberFormat="1" applyFont="1" applyAlignment="1">
      <alignment horizontal="center" vertical="center"/>
    </xf>
    <xf numFmtId="0" fontId="48" fillId="0" borderId="0" xfId="52" applyFont="1" applyAlignment="1">
      <alignment horizontal="center"/>
    </xf>
    <xf numFmtId="0" fontId="14" fillId="0" borderId="12" xfId="0" applyFont="1" applyBorder="1" applyAlignment="1">
      <alignment horizontal="center" vertical="center"/>
    </xf>
    <xf numFmtId="2" fontId="0" fillId="0" borderId="18" xfId="0" applyNumberFormat="1" applyBorder="1" applyAlignment="1"/>
    <xf numFmtId="2" fontId="14" fillId="0" borderId="12" xfId="0" applyNumberFormat="1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center" vertical="center"/>
    </xf>
    <xf numFmtId="10" fontId="14" fillId="0" borderId="12" xfId="3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/>
    </xf>
    <xf numFmtId="10" fontId="16" fillId="0" borderId="12" xfId="3" applyNumberFormat="1" applyFont="1" applyBorder="1" applyAlignment="1">
      <alignment horizontal="center" vertical="center"/>
    </xf>
    <xf numFmtId="2" fontId="1" fillId="0" borderId="0" xfId="0" applyNumberFormat="1" applyFont="1">
      <alignment vertical="center"/>
    </xf>
    <xf numFmtId="1" fontId="1" fillId="0" borderId="0" xfId="0" applyNumberFormat="1" applyFont="1">
      <alignment vertical="center"/>
    </xf>
    <xf numFmtId="10" fontId="1" fillId="0" borderId="0" xfId="0" applyNumberFormat="1" applyFont="1">
      <alignment vertical="center"/>
    </xf>
    <xf numFmtId="0" fontId="17" fillId="0" borderId="0" xfId="0" applyFont="1">
      <alignment vertical="center"/>
    </xf>
    <xf numFmtId="0" fontId="24" fillId="0" borderId="12" xfId="5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/>
    </xf>
    <xf numFmtId="1" fontId="14" fillId="0" borderId="12" xfId="0" applyNumberFormat="1" applyFont="1" applyBorder="1" applyAlignment="1">
      <alignment horizontal="center"/>
    </xf>
    <xf numFmtId="10" fontId="14" fillId="0" borderId="12" xfId="3" applyNumberFormat="1" applyFont="1" applyBorder="1" applyAlignment="1">
      <alignment horizontal="center"/>
    </xf>
    <xf numFmtId="2" fontId="16" fillId="0" borderId="12" xfId="0" applyNumberFormat="1" applyFont="1" applyBorder="1" applyAlignment="1">
      <alignment horizontal="center"/>
    </xf>
    <xf numFmtId="1" fontId="16" fillId="0" borderId="12" xfId="0" applyNumberFormat="1" applyFont="1" applyBorder="1" applyAlignment="1">
      <alignment horizontal="center"/>
    </xf>
    <xf numFmtId="10" fontId="16" fillId="0" borderId="12" xfId="3" applyNumberFormat="1" applyFont="1" applyBorder="1" applyAlignment="1">
      <alignment horizontal="center"/>
    </xf>
    <xf numFmtId="10" fontId="16" fillId="0" borderId="12" xfId="0" applyNumberFormat="1" applyFont="1" applyBorder="1" applyAlignment="1">
      <alignment horizontal="center"/>
    </xf>
    <xf numFmtId="0" fontId="24" fillId="0" borderId="10" xfId="52" applyFont="1" applyBorder="1" applyAlignment="1">
      <alignment horizontal="center" vertical="center"/>
    </xf>
    <xf numFmtId="176" fontId="0" fillId="0" borderId="12" xfId="0" applyNumberFormat="1" applyBorder="1" applyAlignment="1"/>
    <xf numFmtId="1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76" fontId="0" fillId="0" borderId="12" xfId="0" applyNumberFormat="1" applyBorder="1" applyAlignment="1">
      <alignment horizontal="center"/>
    </xf>
    <xf numFmtId="181" fontId="0" fillId="0" borderId="12" xfId="0" applyNumberFormat="1" applyBorder="1" applyAlignment="1"/>
    <xf numFmtId="176" fontId="0" fillId="0" borderId="12" xfId="0" applyNumberFormat="1" applyBorder="1">
      <alignment vertical="center"/>
    </xf>
    <xf numFmtId="180" fontId="0" fillId="0" borderId="0" xfId="0" applyNumberFormat="1" applyAlignment="1">
      <alignment horizontal="center" wrapText="1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1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118"/>
  <sheetViews>
    <sheetView workbookViewId="0">
      <pane xSplit="2" ySplit="4" topLeftCell="BZ47" activePane="bottomRight" state="frozen"/>
      <selection/>
      <selection pane="topRight"/>
      <selection pane="bottomLeft"/>
      <selection pane="bottomRight" activeCell="B1" sqref="B1"/>
    </sheetView>
  </sheetViews>
  <sheetFormatPr defaultColWidth="9" defaultRowHeight="14.4"/>
  <cols>
    <col min="1" max="1" width="7.66666666666667" style="16" customWidth="1"/>
    <col min="2" max="2" width="19.1111111111111" style="16" customWidth="1"/>
    <col min="3" max="3" width="14.2222222222222" style="16" hidden="1" customWidth="1"/>
    <col min="4" max="4" width="12.6666666666667" style="16" hidden="1" customWidth="1"/>
    <col min="5" max="5" width="14.2222222222222" style="16" hidden="1" customWidth="1"/>
    <col min="6" max="6" width="12.6666666666667" style="16" hidden="1" customWidth="1"/>
    <col min="7" max="7" width="14.2222222222222" style="16" hidden="1" customWidth="1"/>
    <col min="8" max="8" width="12.6666666666667" style="16" hidden="1" customWidth="1"/>
    <col min="9" max="9" width="12" style="16" customWidth="1"/>
    <col min="10" max="10" width="12.6666666666667" style="16" hidden="1" customWidth="1"/>
    <col min="11" max="11" width="12" style="16" customWidth="1"/>
    <col min="12" max="12" width="12.6666666666667" style="16" customWidth="1"/>
    <col min="13" max="13" width="12" style="16" customWidth="1"/>
    <col min="14" max="14" width="12.6666666666667" style="16" customWidth="1"/>
    <col min="15" max="15" width="12" style="16" customWidth="1"/>
    <col min="16" max="16" width="12.6666666666667" style="16" customWidth="1"/>
    <col min="17" max="17" width="10.5555555555556" style="16" customWidth="1"/>
    <col min="18" max="18" width="11.6666666666667" style="16" customWidth="1"/>
    <col min="19" max="19" width="13.8888888888889" style="16" customWidth="1"/>
    <col min="20" max="20" width="11.1111111111111" style="16" customWidth="1"/>
    <col min="22" max="22" width="12" style="16" customWidth="1"/>
    <col min="23" max="23" width="11.2222222222222" style="16" customWidth="1"/>
    <col min="24" max="24" width="12" style="16" customWidth="1"/>
    <col min="25" max="25" width="13.8888888888889" style="16" customWidth="1"/>
    <col min="26" max="26" width="12" style="16" customWidth="1"/>
    <col min="27" max="27" width="10.8888888888889" style="16" customWidth="1"/>
    <col min="28" max="28" width="12" style="16" customWidth="1"/>
    <col min="29" max="29" width="10.1111111111111" style="16" customWidth="1"/>
    <col min="30" max="30" width="12" style="16" customWidth="1"/>
    <col min="31" max="31" width="11.6666666666667" style="16" customWidth="1"/>
    <col min="32" max="32" width="12" style="16" customWidth="1"/>
    <col min="33" max="33" width="13.8888888888889" style="16" customWidth="1"/>
    <col min="34" max="34" width="12" style="16" customWidth="1"/>
    <col min="35" max="35" width="11.6666666666667" style="16" customWidth="1"/>
    <col min="36" max="37" width="12" style="16" customWidth="1"/>
    <col min="38" max="38" width="12.3333333333333" style="16" customWidth="1"/>
    <col min="39" max="39" width="9.66666666666667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7777777778" style="16" customWidth="1"/>
    <col min="47" max="47" width="11.8888888888889" style="16" customWidth="1"/>
    <col min="48" max="48" width="7" style="16" customWidth="1"/>
    <col min="49" max="49" width="13.1111111111111" style="16" customWidth="1"/>
    <col min="50" max="50" width="12" style="16" customWidth="1"/>
    <col min="51" max="51" width="10.3333333333333" style="16" customWidth="1"/>
    <col min="52" max="52" width="11" style="16" customWidth="1"/>
    <col min="53" max="53" width="10.6666666666667" style="16" customWidth="1"/>
    <col min="54" max="54" width="12" style="16" customWidth="1"/>
    <col min="55" max="55" width="11.6666666666667" style="16" customWidth="1"/>
    <col min="56" max="56" width="12" style="16" customWidth="1"/>
    <col min="58" max="58" width="12" style="16" customWidth="1"/>
    <col min="59" max="59" width="13.1111111111111" style="16" customWidth="1"/>
    <col min="60" max="60" width="12" style="16" customWidth="1"/>
    <col min="61" max="61" width="13.1111111111111" style="16" customWidth="1"/>
    <col min="62" max="62" width="12" style="16" customWidth="1"/>
    <col min="63" max="63" width="13.1111111111111" style="16" hidden="1" customWidth="1"/>
    <col min="64" max="64" width="12" style="16" customWidth="1"/>
    <col min="65" max="65" width="13.1111111111111" style="16" hidden="1" customWidth="1"/>
    <col min="66" max="66" width="12" style="16" customWidth="1"/>
    <col min="67" max="67" width="13.1111111111111" style="16" hidden="1" customWidth="1"/>
    <col min="68" max="68" width="12" style="16" customWidth="1"/>
    <col min="69" max="69" width="13.1111111111111" style="16" hidden="1" customWidth="1"/>
    <col min="70" max="70" width="12" style="16" customWidth="1"/>
    <col min="71" max="71" width="13.1111111111111" style="16" customWidth="1"/>
    <col min="72" max="72" width="11" style="16" customWidth="1"/>
    <col min="73" max="73" width="14.8888888888889" style="16" customWidth="1"/>
    <col min="74" max="74" width="13.4444444444444" style="16" customWidth="1"/>
    <col min="75" max="75" width="10.3333333333333" style="16" customWidth="1"/>
    <col min="76" max="76" width="12.5555555555556" style="16" customWidth="1"/>
    <col min="77" max="77" width="12" style="16" customWidth="1"/>
    <col min="79" max="79" width="12" style="16" customWidth="1"/>
    <col min="81" max="81" width="12" style="16" customWidth="1"/>
    <col min="83" max="83" width="12" style="16" customWidth="1"/>
    <col min="85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style="16" customWidth="1"/>
    <col min="103" max="103" width="15.6666666666667" style="16" customWidth="1"/>
    <col min="104" max="106" width="11" style="16" customWidth="1"/>
    <col min="107" max="113" width="10" style="16" customWidth="1"/>
    <col min="114" max="115" width="11" style="16" customWidth="1"/>
    <col min="116" max="116" width="8.22222222222222" style="16" customWidth="1"/>
    <col min="117" max="128" width="12" style="16" customWidth="1"/>
    <col min="129" max="129" width="9" style="16" customWidth="1"/>
    <col min="130" max="130" width="13" style="16" customWidth="1"/>
    <col min="131" max="131" width="9" style="16" customWidth="1"/>
    <col min="133" max="144" width="12" style="16" customWidth="1"/>
    <col min="145" max="145" width="16.3333333333333" style="16" customWidth="1"/>
    <col min="146" max="146" width="14" style="16" customWidth="1"/>
    <col min="147" max="147" width="14.3333333333333" style="16" customWidth="1"/>
    <col min="148" max="150" width="9" style="16" customWidth="1"/>
  </cols>
  <sheetData>
    <row r="1" spans="1:147">
      <c r="A1" s="14" t="s">
        <v>0</v>
      </c>
      <c r="D1" s="18"/>
      <c r="F1" s="18"/>
      <c r="H1" s="18"/>
      <c r="J1" s="18"/>
      <c r="L1" s="18"/>
      <c r="N1" s="18"/>
      <c r="P1" s="18"/>
      <c r="Q1" s="127"/>
      <c r="R1" s="127"/>
      <c r="S1" s="19"/>
      <c r="T1" s="18"/>
      <c r="U1" s="19"/>
      <c r="V1" s="700"/>
      <c r="W1" s="701"/>
      <c r="X1" s="336"/>
      <c r="Y1" s="701"/>
      <c r="Z1" s="336"/>
      <c r="AA1" s="701"/>
      <c r="AB1" s="336"/>
      <c r="AC1" s="701"/>
      <c r="AD1" s="336"/>
      <c r="AE1" s="701"/>
      <c r="AF1" s="336"/>
      <c r="AG1" s="701"/>
      <c r="AH1" s="336"/>
      <c r="AI1" s="701"/>
      <c r="AJ1" s="700"/>
      <c r="AK1" s="701"/>
      <c r="AL1" s="700"/>
      <c r="AM1" s="701"/>
      <c r="AN1" s="700"/>
      <c r="AO1" s="701"/>
      <c r="AP1" s="700"/>
      <c r="AQ1" s="701"/>
      <c r="AR1" s="700"/>
      <c r="AS1" s="701"/>
      <c r="AT1" s="702"/>
      <c r="AU1" s="701"/>
      <c r="AV1" s="701"/>
      <c r="AW1" s="702"/>
      <c r="AX1" s="336"/>
      <c r="AY1" s="701"/>
      <c r="AZ1" s="336"/>
      <c r="BA1" s="701"/>
      <c r="BB1" s="336"/>
      <c r="BC1" s="701"/>
      <c r="BD1" s="702"/>
      <c r="BE1" s="701"/>
      <c r="BF1" s="702"/>
      <c r="BG1" s="701"/>
      <c r="BH1" s="703"/>
      <c r="BI1" s="701"/>
      <c r="BJ1" s="703"/>
      <c r="BK1" s="701"/>
      <c r="BL1" s="703"/>
      <c r="BM1" s="701"/>
      <c r="BN1" s="703"/>
      <c r="BO1" s="701"/>
      <c r="BP1" s="703"/>
      <c r="BQ1" s="701"/>
      <c r="BR1" s="703"/>
      <c r="BS1" s="701"/>
      <c r="BT1" s="703"/>
      <c r="BU1" s="701"/>
      <c r="BV1" s="702"/>
      <c r="BW1" s="337"/>
      <c r="BX1" s="337"/>
      <c r="BY1" s="336"/>
      <c r="BZ1" s="337"/>
      <c r="CA1" s="336"/>
      <c r="CB1" s="337"/>
      <c r="CC1" s="336"/>
      <c r="CD1" s="337"/>
      <c r="CE1" s="336"/>
      <c r="CF1" s="337"/>
      <c r="CG1" s="704"/>
      <c r="CH1" s="337"/>
      <c r="CI1" s="703"/>
      <c r="CJ1" s="337"/>
      <c r="CK1" s="703"/>
      <c r="CL1" s="337"/>
      <c r="CM1" s="700"/>
      <c r="CN1" s="337"/>
      <c r="CO1" s="700"/>
      <c r="CP1" s="337"/>
      <c r="CQ1" s="700"/>
      <c r="CR1" s="337"/>
      <c r="CS1" s="705"/>
      <c r="CT1" s="337"/>
      <c r="CU1" s="705"/>
      <c r="CV1" s="337"/>
      <c r="CW1" s="336"/>
      <c r="CX1" s="337"/>
      <c r="CY1" s="337"/>
    </row>
    <row r="2" ht="21" customHeight="1" spans="1:147">
      <c r="Q2" s="127"/>
      <c r="R2" s="127"/>
      <c r="S2" s="19"/>
      <c r="T2" s="18"/>
      <c r="U2" s="19"/>
      <c r="V2" s="700"/>
      <c r="W2" s="55"/>
      <c r="X2" s="336"/>
      <c r="Y2" s="55"/>
      <c r="Z2" s="336"/>
      <c r="AA2" s="55"/>
      <c r="AB2" s="336"/>
      <c r="AC2" s="55"/>
      <c r="AD2" s="336"/>
      <c r="AE2" s="55"/>
      <c r="AF2" s="336"/>
      <c r="AG2" s="55"/>
      <c r="AH2" s="336"/>
      <c r="AI2" s="55"/>
      <c r="AJ2" s="700"/>
      <c r="AK2" s="55"/>
      <c r="AL2" s="700"/>
      <c r="AM2" s="55"/>
      <c r="AN2" s="700"/>
      <c r="AO2" s="55"/>
      <c r="AP2" s="700"/>
      <c r="AQ2" s="55"/>
      <c r="AR2" s="700"/>
      <c r="AS2" s="55"/>
      <c r="AT2" s="702"/>
      <c r="AU2" s="701"/>
      <c r="AV2" s="701"/>
      <c r="AW2" s="702"/>
      <c r="AX2" s="336"/>
      <c r="AY2" s="55"/>
      <c r="AZ2" s="336"/>
      <c r="BA2" s="55"/>
      <c r="BB2" s="336"/>
      <c r="BC2" s="55"/>
      <c r="BD2" s="702"/>
      <c r="BE2" s="701"/>
      <c r="BF2" s="702"/>
      <c r="BG2" s="701"/>
      <c r="BH2" s="703"/>
      <c r="BI2" s="701"/>
      <c r="BJ2" s="703"/>
      <c r="BK2" s="701"/>
      <c r="BL2" s="703"/>
      <c r="BM2" s="701"/>
      <c r="BN2" s="703"/>
      <c r="BO2" s="701"/>
      <c r="BP2" s="703"/>
      <c r="BQ2" s="701"/>
      <c r="BR2" s="703"/>
      <c r="BS2" s="701"/>
      <c r="BT2" s="703"/>
      <c r="BU2" s="701"/>
      <c r="BV2" s="702"/>
      <c r="BW2" s="337"/>
      <c r="BX2" s="337"/>
      <c r="BY2" s="336"/>
      <c r="BZ2" s="337"/>
      <c r="CA2" s="336"/>
      <c r="CB2" s="337"/>
      <c r="CC2" s="336"/>
      <c r="CD2" s="337"/>
      <c r="CE2" s="336"/>
      <c r="CF2" s="337"/>
      <c r="CG2" s="704"/>
      <c r="CH2" s="337"/>
      <c r="CI2" s="703"/>
      <c r="CJ2" s="337"/>
      <c r="CK2" s="703"/>
      <c r="CL2" s="337"/>
      <c r="CM2" s="700"/>
      <c r="CN2" s="337"/>
      <c r="CO2" s="700"/>
      <c r="CP2" s="337"/>
      <c r="CQ2" s="700"/>
      <c r="CR2" s="337"/>
      <c r="CS2" s="705"/>
      <c r="CT2" s="337"/>
      <c r="CU2" s="705"/>
      <c r="CV2" s="337"/>
      <c r="CW2" s="336"/>
      <c r="CX2" s="337"/>
      <c r="CY2" s="337"/>
      <c r="EH2" s="127"/>
      <c r="EJ2" s="706"/>
    </row>
    <row r="3" ht="24" customHeight="1" spans="1:147">
      <c r="A3" s="707" t="s">
        <v>1</v>
      </c>
      <c r="B3" s="708" t="s">
        <v>2</v>
      </c>
      <c r="C3" s="709">
        <v>46023</v>
      </c>
      <c r="D3" s="708" t="s">
        <v>3</v>
      </c>
      <c r="E3" s="709">
        <v>46054</v>
      </c>
      <c r="F3" s="708" t="s">
        <v>4</v>
      </c>
      <c r="G3" s="709">
        <v>46082</v>
      </c>
      <c r="H3" s="708" t="s">
        <v>5</v>
      </c>
      <c r="I3" s="709">
        <v>46113</v>
      </c>
      <c r="J3" s="708" t="s">
        <v>6</v>
      </c>
      <c r="K3" s="709">
        <v>46143</v>
      </c>
      <c r="L3" s="708" t="s">
        <v>7</v>
      </c>
      <c r="M3" s="709">
        <v>46174</v>
      </c>
      <c r="N3" s="708" t="s">
        <v>8</v>
      </c>
      <c r="O3" s="709">
        <v>46204</v>
      </c>
      <c r="P3" s="708" t="s">
        <v>9</v>
      </c>
      <c r="Q3" s="709">
        <v>46235</v>
      </c>
      <c r="R3" s="708" t="s">
        <v>10</v>
      </c>
      <c r="S3" s="708" t="s">
        <v>11</v>
      </c>
      <c r="T3" s="708" t="s">
        <v>12</v>
      </c>
      <c r="U3" s="25"/>
      <c r="V3" s="710" t="s">
        <v>13</v>
      </c>
      <c r="W3" s="708" t="s">
        <v>3</v>
      </c>
      <c r="X3" s="190" t="s">
        <v>14</v>
      </c>
      <c r="Y3" s="708" t="s">
        <v>4</v>
      </c>
      <c r="Z3" s="190" t="s">
        <v>15</v>
      </c>
      <c r="AA3" s="708" t="s">
        <v>5</v>
      </c>
      <c r="AB3" s="190" t="s">
        <v>16</v>
      </c>
      <c r="AC3" s="708" t="s">
        <v>6</v>
      </c>
      <c r="AD3" s="190" t="s">
        <v>17</v>
      </c>
      <c r="AE3" s="708" t="s">
        <v>7</v>
      </c>
      <c r="AF3" s="190" t="s">
        <v>18</v>
      </c>
      <c r="AG3" s="708" t="s">
        <v>8</v>
      </c>
      <c r="AH3" s="190" t="s">
        <v>19</v>
      </c>
      <c r="AI3" s="708" t="s">
        <v>9</v>
      </c>
      <c r="AJ3" s="710" t="s">
        <v>20</v>
      </c>
      <c r="AK3" s="708" t="s">
        <v>10</v>
      </c>
      <c r="AL3" s="710" t="s">
        <v>21</v>
      </c>
      <c r="AM3" s="708" t="s">
        <v>22</v>
      </c>
      <c r="AN3" s="710" t="s">
        <v>23</v>
      </c>
      <c r="AO3" s="708" t="s">
        <v>24</v>
      </c>
      <c r="AP3" s="710" t="s">
        <v>25</v>
      </c>
      <c r="AQ3" s="708" t="s">
        <v>26</v>
      </c>
      <c r="AR3" s="710" t="s">
        <v>27</v>
      </c>
      <c r="AS3" s="708" t="s">
        <v>28</v>
      </c>
      <c r="AT3" s="708" t="s">
        <v>29</v>
      </c>
      <c r="AU3" s="708" t="s">
        <v>30</v>
      </c>
      <c r="AV3" s="708"/>
      <c r="AW3" s="708"/>
      <c r="AX3" s="190" t="s">
        <v>31</v>
      </c>
      <c r="AY3" s="708" t="s">
        <v>3</v>
      </c>
      <c r="AZ3" s="190" t="s">
        <v>32</v>
      </c>
      <c r="BA3" s="708" t="s">
        <v>4</v>
      </c>
      <c r="BB3" s="190" t="s">
        <v>33</v>
      </c>
      <c r="BC3" s="708" t="s">
        <v>5</v>
      </c>
      <c r="BD3" s="190" t="s">
        <v>34</v>
      </c>
      <c r="BE3" s="708" t="s">
        <v>6</v>
      </c>
      <c r="BF3" s="190" t="s">
        <v>35</v>
      </c>
      <c r="BG3" s="708" t="s">
        <v>7</v>
      </c>
      <c r="BH3" s="710" t="s">
        <v>36</v>
      </c>
      <c r="BI3" s="708" t="s">
        <v>8</v>
      </c>
      <c r="BJ3" s="190" t="s">
        <v>37</v>
      </c>
      <c r="BK3" s="708" t="s">
        <v>9</v>
      </c>
      <c r="BL3" s="190" t="s">
        <v>38</v>
      </c>
      <c r="BM3" s="708" t="s">
        <v>10</v>
      </c>
      <c r="BN3" s="190" t="s">
        <v>39</v>
      </c>
      <c r="BO3" s="189" t="s">
        <v>22</v>
      </c>
      <c r="BP3" s="190" t="s">
        <v>40</v>
      </c>
      <c r="BQ3" s="189" t="s">
        <v>24</v>
      </c>
      <c r="BR3" s="190" t="s">
        <v>41</v>
      </c>
      <c r="BS3" s="189" t="s">
        <v>26</v>
      </c>
      <c r="BT3" s="190" t="s">
        <v>42</v>
      </c>
      <c r="BU3" s="189" t="s">
        <v>28</v>
      </c>
      <c r="BV3" s="708" t="s">
        <v>43</v>
      </c>
      <c r="BW3" s="708" t="s">
        <v>44</v>
      </c>
      <c r="BX3" s="708"/>
      <c r="BY3" s="190" t="s">
        <v>45</v>
      </c>
      <c r="BZ3" s="189" t="s">
        <v>3</v>
      </c>
      <c r="CA3" s="190" t="s">
        <v>46</v>
      </c>
      <c r="CB3" s="189" t="s">
        <v>4</v>
      </c>
      <c r="CC3" s="190" t="s">
        <v>47</v>
      </c>
      <c r="CD3" s="189" t="s">
        <v>5</v>
      </c>
      <c r="CE3" s="190" t="s">
        <v>48</v>
      </c>
      <c r="CF3" s="189" t="s">
        <v>6</v>
      </c>
      <c r="CG3" s="711" t="s">
        <v>49</v>
      </c>
      <c r="CH3" s="189" t="s">
        <v>7</v>
      </c>
      <c r="CI3" s="710" t="s">
        <v>50</v>
      </c>
      <c r="CJ3" s="189" t="s">
        <v>8</v>
      </c>
      <c r="CK3" s="712">
        <v>45108</v>
      </c>
      <c r="CL3" s="189" t="s">
        <v>9</v>
      </c>
      <c r="CM3" s="712">
        <v>45139</v>
      </c>
      <c r="CN3" s="189" t="s">
        <v>10</v>
      </c>
      <c r="CO3" s="712">
        <v>45170</v>
      </c>
      <c r="CP3" s="189" t="s">
        <v>22</v>
      </c>
      <c r="CQ3" s="712">
        <v>45200</v>
      </c>
      <c r="CR3" s="189" t="s">
        <v>24</v>
      </c>
      <c r="CS3" s="712">
        <v>45231</v>
      </c>
      <c r="CT3" s="189" t="s">
        <v>26</v>
      </c>
      <c r="CU3" s="712">
        <v>45261</v>
      </c>
      <c r="CV3" s="189" t="s">
        <v>28</v>
      </c>
      <c r="CW3" s="190" t="s">
        <v>51</v>
      </c>
      <c r="CX3" s="189" t="s">
        <v>44</v>
      </c>
      <c r="CY3" s="189"/>
      <c r="CZ3" s="713"/>
      <c r="DA3" s="713"/>
      <c r="DB3" s="713"/>
      <c r="DC3" s="713"/>
      <c r="DD3" s="713"/>
      <c r="DE3" s="713"/>
      <c r="DF3" s="713"/>
      <c r="DG3" s="713"/>
      <c r="DH3" s="713"/>
      <c r="DI3" s="713"/>
      <c r="DJ3" s="713"/>
      <c r="DK3" s="713"/>
      <c r="DL3" s="713"/>
      <c r="DM3" s="24" t="s">
        <v>52</v>
      </c>
      <c r="DN3" s="24" t="s">
        <v>53</v>
      </c>
      <c r="DO3" s="24" t="s">
        <v>54</v>
      </c>
      <c r="DP3" s="24" t="s">
        <v>55</v>
      </c>
      <c r="DQ3" s="24" t="s">
        <v>56</v>
      </c>
      <c r="DR3" s="24" t="s">
        <v>57</v>
      </c>
      <c r="DS3" s="24" t="s">
        <v>58</v>
      </c>
      <c r="DT3" s="24" t="s">
        <v>59</v>
      </c>
      <c r="DU3" s="24" t="s">
        <v>60</v>
      </c>
      <c r="DV3" s="24" t="s">
        <v>61</v>
      </c>
      <c r="DW3" s="24" t="s">
        <v>62</v>
      </c>
      <c r="DX3" s="24" t="s">
        <v>63</v>
      </c>
      <c r="DY3" s="714" t="s">
        <v>28</v>
      </c>
      <c r="DZ3" s="179" t="s">
        <v>51</v>
      </c>
      <c r="EA3" s="715" t="s">
        <v>44</v>
      </c>
      <c r="EB3" s="716"/>
      <c r="EC3" s="708" t="s">
        <v>64</v>
      </c>
      <c r="ED3" s="717" t="s">
        <v>65</v>
      </c>
      <c r="EE3" s="717" t="s">
        <v>66</v>
      </c>
      <c r="EF3" s="717" t="s">
        <v>67</v>
      </c>
      <c r="EG3" s="712">
        <v>44317</v>
      </c>
      <c r="EH3" s="712">
        <v>44348</v>
      </c>
      <c r="EI3" s="712">
        <v>44378</v>
      </c>
      <c r="EJ3" s="712">
        <v>44409</v>
      </c>
      <c r="EK3" s="712">
        <v>44440</v>
      </c>
      <c r="EL3" s="712">
        <v>44470</v>
      </c>
      <c r="EM3" s="712">
        <v>44501</v>
      </c>
      <c r="EN3" s="712">
        <v>44531</v>
      </c>
      <c r="EO3" s="718"/>
      <c r="EP3" s="189" t="s">
        <v>44</v>
      </c>
    </row>
    <row r="4" ht="35.25" customHeight="1" spans="1:147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32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708"/>
      <c r="AW4" s="708"/>
      <c r="AX4" s="29"/>
      <c r="AY4" s="55"/>
      <c r="AZ4" s="29"/>
      <c r="BA4" s="55"/>
      <c r="BB4" s="29"/>
      <c r="BC4" s="55"/>
      <c r="BD4" s="29"/>
      <c r="BE4" s="55"/>
      <c r="BF4" s="29"/>
      <c r="BG4" s="55"/>
      <c r="BH4" s="29"/>
      <c r="BI4" s="55"/>
      <c r="BJ4" s="29"/>
      <c r="BK4" s="55"/>
      <c r="BL4" s="29"/>
      <c r="BM4" s="55"/>
      <c r="BN4" s="29"/>
      <c r="BO4" s="55"/>
      <c r="BP4" s="29"/>
      <c r="BQ4" s="55"/>
      <c r="BR4" s="29"/>
      <c r="BS4" s="55"/>
      <c r="BT4" s="29"/>
      <c r="BU4" s="55"/>
      <c r="BV4" s="29"/>
      <c r="BW4" s="55"/>
      <c r="BX4" s="708"/>
      <c r="BY4" s="29"/>
      <c r="BZ4" s="55"/>
      <c r="CA4" s="29"/>
      <c r="CB4" s="55"/>
      <c r="CC4" s="29"/>
      <c r="CD4" s="55"/>
      <c r="CE4" s="29"/>
      <c r="CF4" s="55"/>
      <c r="CG4" s="29"/>
      <c r="CH4" s="55"/>
      <c r="CI4" s="29"/>
      <c r="CJ4" s="55"/>
      <c r="CK4" s="29"/>
      <c r="CL4" s="55"/>
      <c r="CM4" s="29"/>
      <c r="CN4" s="55"/>
      <c r="CO4" s="29"/>
      <c r="CP4" s="55"/>
      <c r="CQ4" s="29"/>
      <c r="CR4" s="55"/>
      <c r="CS4" s="29"/>
      <c r="CT4" s="55"/>
      <c r="CU4" s="29"/>
      <c r="CV4" s="55"/>
      <c r="CW4" s="29"/>
      <c r="CX4" s="55"/>
      <c r="CY4" s="189"/>
      <c r="CZ4" s="189" t="s">
        <v>68</v>
      </c>
      <c r="DA4" s="189" t="s">
        <v>69</v>
      </c>
      <c r="DB4" s="189" t="s">
        <v>70</v>
      </c>
      <c r="DC4" s="189" t="s">
        <v>71</v>
      </c>
      <c r="DD4" s="189" t="s">
        <v>72</v>
      </c>
      <c r="DE4" s="189" t="s">
        <v>73</v>
      </c>
      <c r="DF4" s="189" t="s">
        <v>74</v>
      </c>
      <c r="DG4" s="189" t="s">
        <v>75</v>
      </c>
      <c r="DH4" s="189" t="s">
        <v>76</v>
      </c>
      <c r="DI4" s="189" t="s">
        <v>77</v>
      </c>
      <c r="DJ4" s="189" t="s">
        <v>78</v>
      </c>
      <c r="DK4" s="189" t="s">
        <v>79</v>
      </c>
      <c r="DL4" s="713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55"/>
      <c r="DZ4" s="29"/>
      <c r="EA4" s="338"/>
      <c r="EB4" s="71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720" t="s">
        <v>51</v>
      </c>
      <c r="EP4" s="29"/>
    </row>
    <row r="5" s="206" customFormat="1" ht="27" customHeight="1" spans="1:147">
      <c r="A5" s="707" t="s">
        <v>80</v>
      </c>
      <c r="B5" s="707" t="s">
        <v>81</v>
      </c>
      <c r="C5" s="35">
        <f>C7+C9</f>
        <v>17322.0427104432</v>
      </c>
      <c r="D5" s="36">
        <f t="shared" ref="D5:D36" si="0">C5/V5-1</f>
        <v>0.197781854232804</v>
      </c>
      <c r="E5" s="35">
        <f>E7+E9</f>
        <v>11089.3841</v>
      </c>
      <c r="F5" s="36">
        <f t="shared" ref="F5:F36" si="1">E5/X5-1</f>
        <v>-0.149162397313456</v>
      </c>
      <c r="G5" s="35">
        <f>G7+G9</f>
        <v>16768.3116017372</v>
      </c>
      <c r="H5" s="36">
        <f t="shared" ref="H5:H36" si="2">G5/Z5-1</f>
        <v>-0.0307714371262729</v>
      </c>
      <c r="I5" s="35">
        <f>I7+I9</f>
        <v>17531.028299574</v>
      </c>
      <c r="J5" s="36">
        <f t="shared" ref="J5:J36" si="3">I5/AB5-1</f>
        <v>-0.0086271186391168</v>
      </c>
      <c r="K5" s="35">
        <f>K7+K9</f>
        <v>17582.5601278764</v>
      </c>
      <c r="L5" s="36">
        <f t="shared" ref="L5:L36" si="4">K5/AD5-1</f>
        <v>0.0118906562915091</v>
      </c>
      <c r="M5" s="35">
        <f>M7+M9</f>
        <v>16844.093817224</v>
      </c>
      <c r="N5" s="36">
        <f t="shared" ref="N5:N36" si="5">M5/AF5-1</f>
        <v>0.055809805788672</v>
      </c>
      <c r="O5" s="35">
        <f>O7+O9</f>
        <v>16285.7105413941</v>
      </c>
      <c r="P5" s="36">
        <f t="shared" ref="P5:P36" si="6">O5/AH5-1</f>
        <v>0.0154192784905989</v>
      </c>
      <c r="Q5" s="127"/>
      <c r="R5" s="127"/>
      <c r="S5" s="35">
        <f t="shared" ref="S5:S36" si="7">C5+E5+G5+I5+K5+M5+O5+Q5</f>
        <v>113423.131198249</v>
      </c>
      <c r="T5" s="36">
        <f t="shared" ref="T5:T36" si="8">S5/SUM(V5,X5,Z5,AB5,AD5,AF5,AH5,AJ5)-1</f>
        <v>-0.113242718614715</v>
      </c>
      <c r="U5" s="36"/>
      <c r="V5" s="35">
        <f>V7+V9</f>
        <v>14461.7675157036</v>
      </c>
      <c r="W5" s="36">
        <f t="shared" ref="W5:W36" si="9">V5/AX5-1</f>
        <v>-0.0649077259243649</v>
      </c>
      <c r="X5" s="35">
        <f>X7+X9</f>
        <v>13033.4908388921</v>
      </c>
      <c r="Y5" s="36">
        <f t="shared" ref="Y5:Y36" si="10">X5/AZ5-1</f>
        <v>0.612322068672641</v>
      </c>
      <c r="Z5" s="35">
        <f>Z7+Z9</f>
        <v>17300.6783374396</v>
      </c>
      <c r="AA5" s="36">
        <f t="shared" ref="AA5:AA36" si="11">Z5/BB5-1</f>
        <v>0.12128595241145</v>
      </c>
      <c r="AB5" s="35">
        <f>AB7+AB9</f>
        <v>17683.5867</v>
      </c>
      <c r="AC5" s="36">
        <f t="shared" ref="AC5:AC36" si="12">AB5/BD5-1</f>
        <v>0.102114029743734</v>
      </c>
      <c r="AD5" s="35">
        <f>AD7+AD9</f>
        <v>17375.9486942146</v>
      </c>
      <c r="AE5" s="36">
        <f t="shared" ref="AE5:AE36" si="13">AD5/BF5-1</f>
        <v>0.0750759469598477</v>
      </c>
      <c r="AF5" s="35">
        <f>AF7+AF9</f>
        <v>15953.7198128613</v>
      </c>
      <c r="AG5" s="36">
        <f t="shared" ref="AG5:AG36" si="14">AF5/BH5-1</f>
        <v>0.0701305384084807</v>
      </c>
      <c r="AH5" s="35">
        <f>AH7+AH9</f>
        <v>16038.4098336231</v>
      </c>
      <c r="AI5" s="36">
        <f t="shared" ref="AI5:AI36" si="15">AH5/BJ5-1</f>
        <v>0.039814500151544</v>
      </c>
      <c r="AJ5" s="35">
        <f>AJ7+AJ9</f>
        <v>16060.1511317927</v>
      </c>
      <c r="AK5" s="36">
        <f t="shared" ref="AK5:AK36" si="16">AJ5/BL5-1</f>
        <v>0.00554722052969492</v>
      </c>
      <c r="AL5" s="35">
        <f>AL7+AL9</f>
        <v>16721.6669858106</v>
      </c>
      <c r="AM5" s="36">
        <f t="shared" ref="AM5:AM36" si="17">AL5/BN5-1</f>
        <v>0.0295462212746109</v>
      </c>
      <c r="AN5" s="35">
        <f>AN7+AN9</f>
        <v>15799.319142165</v>
      </c>
      <c r="AO5" s="36">
        <f t="shared" ref="AO5:AO36" si="18">AN5/BP5-1</f>
        <v>-0.023263013414957</v>
      </c>
      <c r="AP5" s="35">
        <f>AP7+AP9</f>
        <v>17081.5328852297</v>
      </c>
      <c r="AQ5" s="36">
        <f t="shared" ref="AQ5:AQ36" si="19">AP5/BR5-1</f>
        <v>0.0112292279285282</v>
      </c>
      <c r="AR5" s="35">
        <f>AR7+AR9</f>
        <v>17922.9513632821</v>
      </c>
      <c r="AS5" s="36">
        <f t="shared" ref="AS5:AS36" si="20">AR5/BT5-1</f>
        <v>-0.0119104844130198</v>
      </c>
      <c r="AT5" s="35">
        <f t="shared" ref="AT5:AT36" si="21">V5+X5+Z5+AB5+AD5+AF5+AH5+AJ5+AL5+AN5+AP5+AR5</f>
        <v>195433.223241014</v>
      </c>
      <c r="AU5" s="36">
        <f t="shared" ref="AU5:AU36" si="22">AT5/SUM(AX5,AZ5,BB5,BD5,BF5,BH5,BJ5,BL5,BN5,BP5,BR5,BT5)-1</f>
        <v>0.056746652733864</v>
      </c>
      <c r="AV5" s="36"/>
      <c r="AW5" s="35">
        <f t="shared" ref="AW5:AW36" si="23">AX5+AZ5+BB5+BD5+BF5+BH5+BJ5+BL5+BN5+BP5+BR5</f>
        <v>166799.582391832</v>
      </c>
      <c r="AX5" s="35">
        <f>AX7+AX9</f>
        <v>15465.6047500761</v>
      </c>
      <c r="AY5" s="36">
        <f t="shared" ref="AY5:AY36" si="24">AX5/BY5-1</f>
        <v>0.66888207090186</v>
      </c>
      <c r="AZ5" s="35">
        <f>AZ7+AZ9</f>
        <v>8083.67700978133</v>
      </c>
      <c r="BA5" s="36">
        <f t="shared" ref="BA5:BA36" si="25">AZ5/CA5-1</f>
        <v>-0.325927157383508</v>
      </c>
      <c r="BB5" s="35">
        <f>BB7+BB9</f>
        <v>15429.3187212705</v>
      </c>
      <c r="BC5" s="36">
        <f t="shared" ref="BC5:BC36" si="26">BB5/CC5-1</f>
        <v>0.0464701598499255</v>
      </c>
      <c r="BD5" s="35">
        <f>BD7+BD9</f>
        <v>16045.1516111376</v>
      </c>
      <c r="BE5" s="36">
        <f t="shared" ref="BE5:BE36" si="27">BD5/CE5-1</f>
        <v>0.12175617404972</v>
      </c>
      <c r="BF5" s="35">
        <f>BF7+BF9</f>
        <v>16162.5313479956</v>
      </c>
      <c r="BG5" s="36">
        <f t="shared" ref="BG5:BG36" si="28">BF5/CG5-1</f>
        <v>0.0946975997634589</v>
      </c>
      <c r="BH5" s="35">
        <f>BH7+BH9</f>
        <v>14908.1997384992</v>
      </c>
      <c r="BI5" s="36">
        <f t="shared" ref="BI5:BI36" si="29">BH5/CI5-1</f>
        <v>0.0130583764393184</v>
      </c>
      <c r="BJ5" s="35">
        <f>BJ7+BJ9</f>
        <v>15424.2990757348</v>
      </c>
      <c r="BK5" s="36">
        <f t="shared" ref="BK5:BK36" si="30">BJ5/CK5-1</f>
        <v>0.0472705175162837</v>
      </c>
      <c r="BL5" s="35">
        <f>BL7+BL9</f>
        <v>15971.5534028652</v>
      </c>
      <c r="BM5" s="36">
        <f t="shared" ref="BM5:BM36" si="31">BL5/CM5-1</f>
        <v>0.0321664508341593</v>
      </c>
      <c r="BN5" s="35">
        <f>BN7+BN9</f>
        <v>16241.7836521304</v>
      </c>
      <c r="BO5" s="36">
        <f t="shared" ref="BO5:BO36" si="32">BN5/CO5-1</f>
        <v>0.058551878979261</v>
      </c>
      <c r="BP5" s="35">
        <f>BP7+BP9</f>
        <v>16175.6126359093</v>
      </c>
      <c r="BQ5" s="36">
        <f t="shared" ref="BQ5:BQ36" si="33">BP5/CQ5-1</f>
        <v>0.0595252571165659</v>
      </c>
      <c r="BR5" s="35">
        <f>BR7+BR9</f>
        <v>16891.8504464321</v>
      </c>
      <c r="BS5" s="36">
        <f t="shared" ref="BS5:BS36" si="34">BR5/CS5-1</f>
        <v>0.0498139348939</v>
      </c>
      <c r="BT5" s="35">
        <f>BT7+BT9</f>
        <v>18138.9955874948</v>
      </c>
      <c r="BU5" s="36">
        <f t="shared" ref="BU5:BU36" si="35">BT5/CU5-1</f>
        <v>0.109058656608617</v>
      </c>
      <c r="BV5" s="35">
        <f t="shared" ref="BV5:BV36" si="36">AX5+AZ5+BB5+BD5+BF5+BH5+BJ5+BL5+BN5+BP5+BR5+BT5</f>
        <v>184938.577979327</v>
      </c>
      <c r="BW5" s="36">
        <f t="shared" ref="BW5:BW36" si="37">BV5/SUM(BY5,CA5,CC5,CE5,CG5,CI5,CK5,CM5,CO5,CQ5,CS5,CU5)-1</f>
        <v>0.0687292968735991</v>
      </c>
      <c r="BX5" s="36"/>
      <c r="BY5" s="41">
        <f>BY7+BY9</f>
        <v>9267.0447</v>
      </c>
      <c r="BZ5" s="721">
        <f t="shared" ref="BZ5:BZ36" si="38">BY5/DM5-1</f>
        <v>-0.134691213242972</v>
      </c>
      <c r="CA5" s="41">
        <f>CA7+CA9</f>
        <v>11992.29</v>
      </c>
      <c r="CB5" s="721">
        <f t="shared" ref="CB5:CB36" si="39">CA5/DN5-1</f>
        <v>0.493550774055817</v>
      </c>
      <c r="CC5" s="41">
        <f>CC7+CC9</f>
        <v>14744.1554601836</v>
      </c>
      <c r="CD5" s="721">
        <f t="shared" ref="CD5:CD36" si="40">CC5/DO5-1</f>
        <v>0.173778256533475</v>
      </c>
      <c r="CE5" s="41">
        <f>CE7+CE9</f>
        <v>14303.6</v>
      </c>
      <c r="CF5" s="721">
        <f t="shared" ref="CF5:CF36" si="41">CE5/DP5-1</f>
        <v>0.238035312153792</v>
      </c>
      <c r="CG5" s="41">
        <f>CG7+CG9</f>
        <v>14764.38</v>
      </c>
      <c r="CH5" s="721">
        <f t="shared" ref="CH5:CH36" si="42">CG5/DQ5-1</f>
        <v>0.169483510869282</v>
      </c>
      <c r="CI5" s="41">
        <f>CI7+CI9</f>
        <v>14716.0322496896</v>
      </c>
      <c r="CJ5" s="721">
        <f t="shared" ref="CJ5:CJ36" si="43">CI5/DR5-1</f>
        <v>0.235395961812884</v>
      </c>
      <c r="CK5" s="41">
        <f>CK7+CK9</f>
        <v>14728.09443</v>
      </c>
      <c r="CL5" s="721">
        <f t="shared" ref="CL5:CL36" si="44">CK5/DS5-1</f>
        <v>0.210337623109545</v>
      </c>
      <c r="CM5" s="41">
        <f>CM7+CM9</f>
        <v>15473.8156718401</v>
      </c>
      <c r="CN5" s="721">
        <f t="shared" ref="CN5:CN36" si="45">CM5/DT5-1</f>
        <v>0.270894638584897</v>
      </c>
      <c r="CO5" s="41">
        <f>CO7+CO9</f>
        <v>15343.3988212198</v>
      </c>
      <c r="CP5" s="721">
        <f t="shared" ref="CP5:CP36" si="46">CO5/DU5-1</f>
        <v>0.135064791792731</v>
      </c>
      <c r="CQ5" s="41">
        <f>CQ7+CQ9</f>
        <v>15266.8494943955</v>
      </c>
      <c r="CR5" s="721">
        <f t="shared" ref="CR5:CR36" si="47">CQ5/DV5-1</f>
        <v>0.20429615684818</v>
      </c>
      <c r="CS5" s="41">
        <f>CS7+CS9</f>
        <v>16090.3279</v>
      </c>
      <c r="CT5" s="721">
        <f t="shared" ref="CT5:CT36" si="48">CS5/DX5-1</f>
        <v>0.172575384876544</v>
      </c>
      <c r="CU5" s="41">
        <f>CU7+CU9</f>
        <v>16355.3077011832</v>
      </c>
      <c r="CV5" s="721">
        <f t="shared" ref="CV5:CV36" si="49">CU5/DX5-1</f>
        <v>0.191885668314391</v>
      </c>
      <c r="CW5" s="41">
        <f t="shared" ref="CW5:CW36" si="50">BY5+CA5+CC5+CE5+CG5+CI5+CK5+CM5+CO5+CQ5+CS5+CU5</f>
        <v>173045.296428512</v>
      </c>
      <c r="CX5" s="721">
        <f t="shared" ref="CX5:CX36" si="51">CW5/SUM(DM5:DX5)-1</f>
        <v>0.193586376236286</v>
      </c>
      <c r="CY5" s="721"/>
      <c r="CZ5" s="721">
        <f t="shared" ref="CZ5:CZ36" si="52">CU5/CS5-1</f>
        <v>0.0164682660807174</v>
      </c>
      <c r="DA5" s="721">
        <f t="shared" ref="DA5:DA36" si="53">CS5/CQ5-1</f>
        <v>0.0539389876023082</v>
      </c>
      <c r="DB5" s="721">
        <f t="shared" ref="DB5:DB10" si="54">CQ5/CO5-1</f>
        <v>-0.00498907235067314</v>
      </c>
      <c r="DC5" s="721">
        <f t="shared" ref="DC5:DC10" si="55">CO5/CM5-1</f>
        <v>-0.00842822826548539</v>
      </c>
      <c r="DD5" s="721">
        <f t="shared" ref="DD5:DD10" si="56">CM5/CK5-1</f>
        <v>0.0506325679390762</v>
      </c>
      <c r="DE5" s="721">
        <f t="shared" ref="DE5:DE10" si="57">CK5/CI5-1</f>
        <v>0.000819662535780141</v>
      </c>
      <c r="DF5" s="721">
        <f t="shared" ref="DF5:DF10" si="58">CI5/CG5-1</f>
        <v>-0.00327462110230081</v>
      </c>
      <c r="DG5" s="721">
        <f t="shared" ref="DG5:DG10" si="59">CG5/CE5-1</f>
        <v>0.0322142677367923</v>
      </c>
      <c r="DH5" s="721">
        <f t="shared" ref="DH5:DH10" si="60">CE5/CC5-1</f>
        <v>-0.0298800064454903</v>
      </c>
      <c r="DI5" s="721">
        <f t="shared" ref="DI5:DI10" si="61">CC5/CA5-1</f>
        <v>0.229469555871615</v>
      </c>
      <c r="DJ5" s="721">
        <f t="shared" ref="DJ5:DJ10" si="62">(CA5-BY5)/BY5</f>
        <v>0.294079222473158</v>
      </c>
      <c r="DK5" s="721">
        <f t="shared" ref="DK5:DK10" si="63">(BY5-DX5)/DX5</f>
        <v>-0.324668299284899</v>
      </c>
      <c r="DL5" s="722"/>
      <c r="DM5" s="41">
        <f t="shared" ref="DM5:DX5" si="64">DM7+DM9</f>
        <v>10709.5234</v>
      </c>
      <c r="DN5" s="41">
        <f t="shared" si="64"/>
        <v>8029.3822</v>
      </c>
      <c r="DO5" s="41">
        <f t="shared" si="64"/>
        <v>12561.2784</v>
      </c>
      <c r="DP5" s="41">
        <f t="shared" si="64"/>
        <v>11553.4669</v>
      </c>
      <c r="DQ5" s="41">
        <f t="shared" si="64"/>
        <v>12624.7013</v>
      </c>
      <c r="DR5" s="41">
        <f t="shared" si="64"/>
        <v>11911.9964</v>
      </c>
      <c r="DS5" s="41">
        <f t="shared" si="64"/>
        <v>12168.5835</v>
      </c>
      <c r="DT5" s="41">
        <f t="shared" si="64"/>
        <v>12175.5299</v>
      </c>
      <c r="DU5" s="41">
        <f t="shared" si="64"/>
        <v>13517.6414</v>
      </c>
      <c r="DV5" s="41">
        <f t="shared" si="64"/>
        <v>12676.9893</v>
      </c>
      <c r="DW5" s="41">
        <f t="shared" si="64"/>
        <v>13327.9779</v>
      </c>
      <c r="DX5" s="41">
        <f t="shared" si="64"/>
        <v>13722.2119</v>
      </c>
      <c r="DY5" s="721">
        <v>-0.062421932042254</v>
      </c>
      <c r="DZ5" s="41">
        <f t="shared" ref="DZ5:DZ36" si="65">SUM(DM5:DX5)</f>
        <v>144979.2825</v>
      </c>
      <c r="EA5" s="36">
        <f t="shared" ref="EA5:EA36" si="66">IFERROR(DZ5/SUM(EC5:EN5)-1,"")</f>
        <v>-0.101235487797891</v>
      </c>
      <c r="EB5" s="723"/>
      <c r="EC5" s="199">
        <f t="shared" ref="EC5:EN5" si="67">EC7+EC9</f>
        <v>14945.33606</v>
      </c>
      <c r="ED5" s="50">
        <f t="shared" si="67"/>
        <v>6495.00544</v>
      </c>
      <c r="EE5" s="50">
        <f t="shared" si="67"/>
        <v>11923.96376</v>
      </c>
      <c r="EF5" s="50">
        <f t="shared" si="67"/>
        <v>14358.29136</v>
      </c>
      <c r="EG5" s="50">
        <f t="shared" si="67"/>
        <v>14364.3671</v>
      </c>
      <c r="EH5" s="50">
        <f t="shared" si="67"/>
        <v>15566.3632</v>
      </c>
      <c r="EI5" s="50">
        <f t="shared" si="67"/>
        <v>13749.1923</v>
      </c>
      <c r="EJ5" s="50">
        <f t="shared" si="67"/>
        <v>12857.5029</v>
      </c>
      <c r="EK5" s="50">
        <f t="shared" si="67"/>
        <v>14155.7194</v>
      </c>
      <c r="EL5" s="50">
        <f t="shared" si="67"/>
        <v>13160.5548</v>
      </c>
      <c r="EM5" s="50">
        <f t="shared" si="67"/>
        <v>15097.4291</v>
      </c>
      <c r="EN5" s="50">
        <f t="shared" si="67"/>
        <v>14635.8062</v>
      </c>
      <c r="EO5" s="724">
        <f t="shared" ref="EO5:EO36" si="68">SUM(EC5:EN5)</f>
        <v>161309.53162</v>
      </c>
      <c r="EP5" s="36"/>
    </row>
    <row r="6" s="206" customFormat="1" ht="27" customHeight="1" spans="1:147">
      <c r="A6" s="45"/>
      <c r="B6" s="707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-0.036051782252588</v>
      </c>
      <c r="I6" s="35">
        <f>I8+I10</f>
        <v>2339073.248941</v>
      </c>
      <c r="J6" s="36">
        <f t="shared" si="3"/>
        <v>-0.0119612796697209</v>
      </c>
      <c r="K6" s="35">
        <f>K8+K10</f>
        <v>2370340.26881529</v>
      </c>
      <c r="L6" s="36">
        <f t="shared" si="4"/>
        <v>-0.0143944588387779</v>
      </c>
      <c r="M6" s="35">
        <f>M8+M10</f>
        <v>2255716.54102902</v>
      </c>
      <c r="N6" s="36">
        <f t="shared" si="5"/>
        <v>0.015439906076085</v>
      </c>
      <c r="O6" s="35">
        <f>O8+O10</f>
        <v>2181925.70817071</v>
      </c>
      <c r="P6" s="36">
        <f t="shared" si="6"/>
        <v>0.00679191238952814</v>
      </c>
      <c r="Q6" s="127"/>
      <c r="R6" s="127"/>
      <c r="S6" s="35">
        <f t="shared" si="7"/>
        <v>15222118.4463982</v>
      </c>
      <c r="T6" s="36">
        <f t="shared" si="8"/>
        <v>-0.129770245102241</v>
      </c>
      <c r="U6" s="682"/>
      <c r="V6" s="35">
        <f>V8+V10</f>
        <v>1953078.40113538</v>
      </c>
      <c r="W6" s="36">
        <f t="shared" si="9"/>
        <v>-0.0609470249082755</v>
      </c>
      <c r="X6" s="35">
        <f>X8+X10</f>
        <v>1839523.79982675</v>
      </c>
      <c r="Y6" s="36">
        <f t="shared" si="10"/>
        <v>0.525526835859954</v>
      </c>
      <c r="Z6" s="35">
        <f>Z8+Z10</f>
        <v>2372137.7658704</v>
      </c>
      <c r="AA6" s="36">
        <f t="shared" si="11"/>
        <v>0.122998614186494</v>
      </c>
      <c r="AB6" s="35">
        <f>AB8+AB10</f>
        <v>2367390.266</v>
      </c>
      <c r="AC6" s="36">
        <f t="shared" si="12"/>
        <v>0.113307181902226</v>
      </c>
      <c r="AD6" s="35">
        <f>AD8+AD10</f>
        <v>2404958.34268809</v>
      </c>
      <c r="AE6" s="36">
        <f t="shared" si="13"/>
        <v>0.107210413757362</v>
      </c>
      <c r="AF6" s="35">
        <f>AF8+AF10</f>
        <v>2221418.05490556</v>
      </c>
      <c r="AG6" s="36">
        <f t="shared" si="14"/>
        <v>0.111385825645705</v>
      </c>
      <c r="AH6" s="35">
        <f>AH8+AH10</f>
        <v>2167206.23330407</v>
      </c>
      <c r="AI6" s="36">
        <f t="shared" si="15"/>
        <v>0.0457165330649643</v>
      </c>
      <c r="AJ6" s="35">
        <f>AJ8+AJ10</f>
        <v>2166355.59373893</v>
      </c>
      <c r="AK6" s="36">
        <f t="shared" si="16"/>
        <v>0.0147405511355234</v>
      </c>
      <c r="AL6" s="35">
        <f>AL8+AL10</f>
        <v>2263752.31023907</v>
      </c>
      <c r="AM6" s="36">
        <f t="shared" si="17"/>
        <v>0.0322883556004694</v>
      </c>
      <c r="AN6" s="35">
        <f>AN8+AN10</f>
        <v>2102640.34295329</v>
      </c>
      <c r="AO6" s="36">
        <f t="shared" si="18"/>
        <v>-0.0463020314434672</v>
      </c>
      <c r="AP6" s="35">
        <f>AP8+AP10</f>
        <v>2203278.90196898</v>
      </c>
      <c r="AQ6" s="36">
        <f t="shared" si="19"/>
        <v>-0.0284095584557575</v>
      </c>
      <c r="AR6" s="35">
        <f>AR8+AR10</f>
        <v>2341822.86456383</v>
      </c>
      <c r="AS6" s="36">
        <f t="shared" si="20"/>
        <v>-0.064569432325237</v>
      </c>
      <c r="AT6" s="35">
        <f t="shared" si="21"/>
        <v>26403562.8771944</v>
      </c>
      <c r="AU6" s="36">
        <f t="shared" si="22"/>
        <v>0.0531305685982819</v>
      </c>
      <c r="AV6" s="36"/>
      <c r="AW6" s="35">
        <f t="shared" si="23"/>
        <v>22568029.2994209</v>
      </c>
      <c r="AX6" s="35">
        <f>AX8+AX10</f>
        <v>2079838.36156273</v>
      </c>
      <c r="AY6" s="36">
        <f t="shared" si="24"/>
        <v>0.428206746673243</v>
      </c>
      <c r="AZ6" s="35">
        <f>AZ8+AZ10</f>
        <v>1205828.54171149</v>
      </c>
      <c r="BA6" s="36">
        <f t="shared" si="25"/>
        <v>-0.306232221528899</v>
      </c>
      <c r="BB6" s="35">
        <f>BB8+BB10</f>
        <v>2112324.74902811</v>
      </c>
      <c r="BC6" s="36">
        <f t="shared" si="26"/>
        <v>0.0268088152929897</v>
      </c>
      <c r="BD6" s="35">
        <f>BD8+BD10</f>
        <v>2126448.39131911</v>
      </c>
      <c r="BE6" s="36">
        <f t="shared" si="27"/>
        <v>0.0646707158509998</v>
      </c>
      <c r="BF6" s="35">
        <f>BF8+BF10</f>
        <v>2172087.90019123</v>
      </c>
      <c r="BG6" s="36">
        <f t="shared" si="28"/>
        <v>0.0617261115334851</v>
      </c>
      <c r="BH6" s="35">
        <f>BH8+BH10</f>
        <v>1998782.06437889</v>
      </c>
      <c r="BI6" s="36">
        <f t="shared" si="29"/>
        <v>-0.00580401281342702</v>
      </c>
      <c r="BJ6" s="35">
        <f>BJ8+BJ10</f>
        <v>2072460.52326633</v>
      </c>
      <c r="BK6" s="36">
        <f t="shared" si="30"/>
        <v>0.0206511107478784</v>
      </c>
      <c r="BL6" s="35">
        <f>BL8+BL10</f>
        <v>2134886.19461863</v>
      </c>
      <c r="BM6" s="36">
        <f t="shared" si="31"/>
        <v>0.00486120725654815</v>
      </c>
      <c r="BN6" s="35">
        <f>BN8+BN10</f>
        <v>2192945.69967543</v>
      </c>
      <c r="BO6" s="36">
        <f t="shared" si="32"/>
        <v>0.020842893178066</v>
      </c>
      <c r="BP6" s="35">
        <f>BP8+BP10</f>
        <v>2204723.52073449</v>
      </c>
      <c r="BQ6" s="36">
        <f t="shared" si="33"/>
        <v>0.042054885170324</v>
      </c>
      <c r="BR6" s="35">
        <f>BR8+BR10</f>
        <v>2267703.35293449</v>
      </c>
      <c r="BS6" s="36">
        <f t="shared" si="34"/>
        <v>0.0215435087340197</v>
      </c>
      <c r="BT6" s="35">
        <f>BT8+BT10</f>
        <v>2503470.53591053</v>
      </c>
      <c r="BU6" s="36">
        <f t="shared" si="35"/>
        <v>0.0887910486791763</v>
      </c>
      <c r="BV6" s="35">
        <f t="shared" si="36"/>
        <v>25071499.8353315</v>
      </c>
      <c r="BW6" s="36">
        <f t="shared" si="37"/>
        <v>0.0341638628275756</v>
      </c>
      <c r="BX6" s="36"/>
      <c r="BY6" s="41">
        <f>BY8+BY10</f>
        <v>1456258.6029</v>
      </c>
      <c r="BZ6" s="721">
        <f t="shared" si="38"/>
        <v>-0.0884252742043021</v>
      </c>
      <c r="CA6" s="41">
        <f>CA8+CA10</f>
        <v>1738086.69</v>
      </c>
      <c r="CB6" s="721">
        <f t="shared" si="39"/>
        <v>0.514211230911059</v>
      </c>
      <c r="CC6" s="41">
        <f>CC8+CC10</f>
        <v>2057174.34206618</v>
      </c>
      <c r="CD6" s="721">
        <f t="shared" si="40"/>
        <v>0.201812522706057</v>
      </c>
      <c r="CE6" s="41">
        <f>CE8+CE10</f>
        <v>1997282.69</v>
      </c>
      <c r="CF6" s="721">
        <f t="shared" si="41"/>
        <v>0.194099914044359</v>
      </c>
      <c r="CG6" s="41">
        <f>CG8+CG10</f>
        <v>2045808.12</v>
      </c>
      <c r="CH6" s="721">
        <f t="shared" si="42"/>
        <v>0.171985671168258</v>
      </c>
      <c r="CI6" s="41">
        <f>CI8+CI10</f>
        <v>2010450.74627101</v>
      </c>
      <c r="CJ6" s="721">
        <f t="shared" si="43"/>
        <v>0.236335844470912</v>
      </c>
      <c r="CK6" s="41">
        <f>CK8+CK10</f>
        <v>2030527.8674</v>
      </c>
      <c r="CL6" s="721">
        <f t="shared" si="44"/>
        <v>0.20894058184707</v>
      </c>
      <c r="CM6" s="41">
        <f>CM8+CM10</f>
        <v>2124558.27650791</v>
      </c>
      <c r="CN6" s="721">
        <f t="shared" si="45"/>
        <v>0.258340863235889</v>
      </c>
      <c r="CO6" s="41">
        <f>CO8+CO10</f>
        <v>2148171.58872351</v>
      </c>
      <c r="CP6" s="721">
        <f t="shared" si="46"/>
        <v>0.136470600781768</v>
      </c>
      <c r="CQ6" s="41">
        <f>CQ8+CQ10</f>
        <v>2115746.06300524</v>
      </c>
      <c r="CR6" s="721">
        <f t="shared" si="47"/>
        <v>0.122313380512281</v>
      </c>
      <c r="CS6" s="41">
        <f>CS8+CS10</f>
        <v>2219879.3625</v>
      </c>
      <c r="CT6" s="721">
        <f t="shared" si="48"/>
        <v>0.119064461472534</v>
      </c>
      <c r="CU6" s="41">
        <f>CU8+CU10</f>
        <v>2299312.1948858</v>
      </c>
      <c r="CV6" s="721">
        <f t="shared" si="49"/>
        <v>0.159107385110036</v>
      </c>
      <c r="CW6" s="41">
        <f t="shared" si="50"/>
        <v>24243256.5442596</v>
      </c>
      <c r="CX6" s="721">
        <f t="shared" si="51"/>
        <v>0.177566247079756</v>
      </c>
      <c r="CY6" s="721">
        <f>CW6*1.032</f>
        <v>25019040.753676</v>
      </c>
      <c r="CZ6" s="721">
        <f t="shared" si="52"/>
        <v>0.0357824995932861</v>
      </c>
      <c r="DA6" s="721">
        <f t="shared" si="53"/>
        <v>0.0492182409390134</v>
      </c>
      <c r="DB6" s="721">
        <f t="shared" si="54"/>
        <v>-0.0150944765718356</v>
      </c>
      <c r="DC6" s="721">
        <f t="shared" si="55"/>
        <v>0.0111144572858752</v>
      </c>
      <c r="DD6" s="721">
        <f t="shared" si="56"/>
        <v>0.0463083568650116</v>
      </c>
      <c r="DE6" s="721">
        <f t="shared" si="57"/>
        <v>0.00998637801310465</v>
      </c>
      <c r="DF6" s="721">
        <f t="shared" si="58"/>
        <v>-0.0172828396677738</v>
      </c>
      <c r="DG6" s="721">
        <f t="shared" si="59"/>
        <v>0.0242957245075806</v>
      </c>
      <c r="DH6" s="721">
        <f t="shared" si="60"/>
        <v>-0.0291135519442782</v>
      </c>
      <c r="DI6" s="721">
        <f t="shared" si="61"/>
        <v>0.183585579420196</v>
      </c>
      <c r="DJ6" s="721">
        <f t="shared" si="62"/>
        <v>0.193528873607178</v>
      </c>
      <c r="DK6" s="721">
        <f t="shared" si="63"/>
        <v>-0.265884769799497</v>
      </c>
      <c r="DL6" s="722"/>
      <c r="DM6" s="41">
        <f t="shared" ref="DM6:DX6" si="69">DM8+DM10</f>
        <v>1597519.7224</v>
      </c>
      <c r="DN6" s="41">
        <f t="shared" si="69"/>
        <v>1147849.5566</v>
      </c>
      <c r="DO6" s="41">
        <f t="shared" si="69"/>
        <v>1711726.4991</v>
      </c>
      <c r="DP6" s="41">
        <f t="shared" si="69"/>
        <v>1672626.1065</v>
      </c>
      <c r="DQ6" s="41">
        <f t="shared" si="69"/>
        <v>1745591.4098</v>
      </c>
      <c r="DR6" s="41">
        <f t="shared" si="69"/>
        <v>1626136.4218</v>
      </c>
      <c r="DS6" s="41">
        <f t="shared" si="69"/>
        <v>1679592.7756</v>
      </c>
      <c r="DT6" s="41">
        <f t="shared" si="69"/>
        <v>1688380.58</v>
      </c>
      <c r="DU6" s="41">
        <f t="shared" si="69"/>
        <v>1890213.0748</v>
      </c>
      <c r="DV6" s="41">
        <f t="shared" si="69"/>
        <v>1885165.1417</v>
      </c>
      <c r="DW6" s="41">
        <f t="shared" si="69"/>
        <v>1959101.2136</v>
      </c>
      <c r="DX6" s="41">
        <f t="shared" si="69"/>
        <v>1983692.1276</v>
      </c>
      <c r="DY6" s="721">
        <v>0.0415989397550423</v>
      </c>
      <c r="DZ6" s="41">
        <f t="shared" si="65"/>
        <v>20587594.6295</v>
      </c>
      <c r="EA6" s="36">
        <f t="shared" si="66"/>
        <v>-0.0625716930952768</v>
      </c>
      <c r="EB6" s="723"/>
      <c r="EC6" s="199">
        <f t="shared" ref="EC6:EN6" si="70">EC8+EC10</f>
        <v>2157113.30183</v>
      </c>
      <c r="ED6" s="50">
        <f t="shared" si="70"/>
        <v>1097282.4642</v>
      </c>
      <c r="EE6" s="50">
        <f t="shared" si="70"/>
        <v>1676879.95555</v>
      </c>
      <c r="EF6" s="50">
        <f t="shared" si="70"/>
        <v>1941623.17937</v>
      </c>
      <c r="EG6" s="50">
        <f t="shared" si="70"/>
        <v>1929056.114</v>
      </c>
      <c r="EH6" s="50">
        <f t="shared" si="70"/>
        <v>1982624.8509</v>
      </c>
      <c r="EI6" s="50">
        <f t="shared" si="70"/>
        <v>1765481.7672</v>
      </c>
      <c r="EJ6" s="50">
        <f t="shared" si="70"/>
        <v>1829068.9559</v>
      </c>
      <c r="EK6" s="50">
        <f t="shared" si="70"/>
        <v>1924240.8248</v>
      </c>
      <c r="EL6" s="50">
        <f t="shared" si="70"/>
        <v>1746284.0596</v>
      </c>
      <c r="EM6" s="50">
        <f t="shared" si="70"/>
        <v>2007656.6707</v>
      </c>
      <c r="EN6" s="50">
        <f t="shared" si="70"/>
        <v>1904468.2693</v>
      </c>
      <c r="EO6" s="724">
        <f t="shared" si="68"/>
        <v>21961780.41335</v>
      </c>
      <c r="EP6" s="36"/>
    </row>
    <row r="7" s="206" customFormat="1" ht="27" customHeight="1" spans="1:147">
      <c r="A7" s="45"/>
      <c r="B7" s="707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-0.0744768390029014</v>
      </c>
      <c r="O7" s="35">
        <v>3754.7823</v>
      </c>
      <c r="P7" s="36">
        <f t="shared" si="6"/>
        <v>-0.0250257552236527</v>
      </c>
      <c r="Q7" s="127"/>
      <c r="R7" s="127"/>
      <c r="S7" s="35">
        <f t="shared" si="7"/>
        <v>27734.461</v>
      </c>
      <c r="T7" s="36">
        <f t="shared" si="8"/>
        <v>-0.184147342082325</v>
      </c>
      <c r="U7" s="36"/>
      <c r="V7" s="35">
        <f>SUM(V12,V18,V24,V30,V36,V42,V48,V54,V60,V66,V72,V78,V84,V90,V96,V102,V108)</f>
        <v>4164.4776</v>
      </c>
      <c r="W7" s="36">
        <f t="shared" si="9"/>
        <v>0.158468654484761</v>
      </c>
      <c r="X7" s="35">
        <f>SUM(X12,X18,X24,X30,X36,X42,X48,X54,X60,X66,X72,X78,X84,X90,X96,X102,X108)</f>
        <v>4004.914</v>
      </c>
      <c r="Y7" s="36">
        <f t="shared" si="10"/>
        <v>0.454501542876122</v>
      </c>
      <c r="Z7" s="35">
        <f>SUM(Z12,Z18,Z24,Z30,Z36,Z42,Z48,Z54,Z60,Z66,Z72,Z78,Z84,Z90,Z96,Z102,Z108)</f>
        <v>4468.0922</v>
      </c>
      <c r="AA7" s="36">
        <f t="shared" si="11"/>
        <v>0.22845791049945</v>
      </c>
      <c r="AB7" s="35">
        <f>SUM(AB12,AB18,AB24,AB30,AB36,AB42,AB48,AB54,AB60,AB66,AB72,AB78,AB84,AB90,AB96,AB102,AB108)</f>
        <v>4578.9583</v>
      </c>
      <c r="AC7" s="36">
        <f t="shared" si="12"/>
        <v>0.152121911359225</v>
      </c>
      <c r="AD7" s="35">
        <f>SUM(AD12,AD18,AD24,AD30,AD36,AD42,AD48,AD54,AD60,AD66,AD72,AD78,AD84,AD90,AD96,AD102,AD108)</f>
        <v>4628.2113</v>
      </c>
      <c r="AE7" s="36">
        <f t="shared" si="13"/>
        <v>0.196021662612318</v>
      </c>
      <c r="AF7" s="35">
        <f>SUM(AF12,AF18,AF24,AF30,AF36,AF42,AF48,AF54,AF60,AF66,AF72,AF78,AF84,AF90,AF96,AF102,AF108)</f>
        <v>4582.5186</v>
      </c>
      <c r="AG7" s="36">
        <f t="shared" si="14"/>
        <v>0.168721333766662</v>
      </c>
      <c r="AH7" s="35">
        <f>SUM(AH12,AH18,AH24,AH30,AH36,AH42,AH48,AH54,AH60,AH66,AH72,AH78,AH84,AH90,AH96,AH102,AH108)</f>
        <v>3851.1605</v>
      </c>
      <c r="AI7" s="36">
        <f t="shared" si="15"/>
        <v>-0.0316687933361073</v>
      </c>
      <c r="AJ7" s="35">
        <f>SUM(AJ12,AJ18,AJ24,AJ30,AJ36,AJ42,AJ48,AJ54,AJ60,AJ66,AJ72,AJ78,AJ84,AJ90,AJ96,AJ102,AJ108)</f>
        <v>3716.1158</v>
      </c>
      <c r="AK7" s="36">
        <f t="shared" si="16"/>
        <v>-0.0950917415911898</v>
      </c>
      <c r="AL7" s="35">
        <f>SUM(AL12,AL18,AL24,AL30,AL36,AL42,AL48,AL54,AL60,AL66,AL72,AL78,AL84,AL90,AL96,AL102,AL108)</f>
        <v>4005.4214</v>
      </c>
      <c r="AM7" s="36">
        <f t="shared" si="17"/>
        <v>-0.0253198190278677</v>
      </c>
      <c r="AN7" s="35">
        <f>SUM(AN12,AN18,AN24,AN30,AN36,AN42,AN48,AN54,AN60,AN66,AN72,AN78,AN84,AN90,AN96,AN102,AN108)</f>
        <v>3836.8558</v>
      </c>
      <c r="AO7" s="36">
        <f t="shared" si="18"/>
        <v>-0.0580793828585016</v>
      </c>
      <c r="AP7" s="35">
        <f>SUM(AP12,AP18,AP24,AP30,AP36,AP42,AP48,AP54,AP60,AP66,AP72,AP78,AP84,AP90,AP96,AP102,AP108)</f>
        <v>4043.4248</v>
      </c>
      <c r="AQ7" s="36">
        <f t="shared" si="19"/>
        <v>-0.0265027077499554</v>
      </c>
      <c r="AR7" s="35">
        <f>SUM(AR12,AR18,AR24,AR30,AR36,AR42,AR48,AR54,AR60,AR66,AR72,AR78,AR84,AR90,AR96,AR102,AR108)</f>
        <v>4236.9437</v>
      </c>
      <c r="AS7" s="36">
        <f t="shared" si="20"/>
        <v>-0.0979578618732654</v>
      </c>
      <c r="AT7" s="35">
        <f t="shared" si="21"/>
        <v>50117.094</v>
      </c>
      <c r="AU7" s="36">
        <f t="shared" si="22"/>
        <v>0.0693324984602597</v>
      </c>
      <c r="AV7" s="36">
        <f>AT7/AT5</f>
        <v>0.256441014321265</v>
      </c>
      <c r="AW7" s="35">
        <f t="shared" si="23"/>
        <v>42170.5858</v>
      </c>
      <c r="AX7" s="35">
        <f>SUM(AX12,AX18,AX24,AX30,AX36,AX42,AX48,AX54,AX60,AX66,AX72,AX78,AX84,AX90,AX96,AX102,AX108)</f>
        <v>3594.8125</v>
      </c>
      <c r="AY7" s="36">
        <f t="shared" si="24"/>
        <v>1.05713591001281</v>
      </c>
      <c r="AZ7" s="41">
        <f>SUM(AZ12,AZ18,AZ24,AZ30,AZ36,AZ42,AZ48,AZ54,AZ60,AZ66,AZ72,AZ78,AZ84,AZ90,AZ96,AZ102,AZ108)</f>
        <v>2753.4615</v>
      </c>
      <c r="BA7" s="36">
        <f t="shared" si="25"/>
        <v>0.293322020267229</v>
      </c>
      <c r="BB7" s="41">
        <f>SUM(BB12,BB18,BB24,BB30,BB36,BB42,BB48,BB54,BB60,BB66,BB72,BB78,BB84,BB90,BB96,BB102,BB108)</f>
        <v>3637.1553</v>
      </c>
      <c r="BC7" s="36">
        <f t="shared" si="26"/>
        <v>0.497459203904476</v>
      </c>
      <c r="BD7" s="35">
        <f>SUM(BD12,BD18,BD24,BD30,BD36,BD42,BD48,BD54,BD60,BD66,BD72,BD78,BD84,BD90,BD96,BD102,BD108)</f>
        <v>3974.3696</v>
      </c>
      <c r="BE7" s="36">
        <f t="shared" si="27"/>
        <v>0.505937137404705</v>
      </c>
      <c r="BF7" s="35">
        <f>SUM(BF12,BF18,BF24,BF30,BF36,BF42,BF48,BF54,BF60,BF66,BF72,BF78,BF84,BF90,BF96,BF102,BF108)</f>
        <v>3869.6718</v>
      </c>
      <c r="BG7" s="36">
        <f t="shared" si="28"/>
        <v>0.486459966929415</v>
      </c>
      <c r="BH7" s="35">
        <f>SUM(BH12,BH18,BH24,BH30,BH36,BH42,BH48,BH54,BH60,BH66,BH72,BH78,BH84,BH90,BH96,BH102,BH108)</f>
        <v>3920.9677</v>
      </c>
      <c r="BI7" s="36">
        <f t="shared" si="29"/>
        <v>0.458364232238365</v>
      </c>
      <c r="BJ7" s="35">
        <f>SUM(BJ12,BJ18,BJ24,BJ30,BJ36,BJ42,BJ48,BJ54,BJ60,BJ66,BJ72,BJ78,BJ84,BJ90,BJ96,BJ102,BJ108)</f>
        <v>3977.1108</v>
      </c>
      <c r="BK7" s="36">
        <f t="shared" si="30"/>
        <v>0.540306673215015</v>
      </c>
      <c r="BL7" s="35">
        <f>SUM(BL12,BL18,BL24,BL30,BL36,BL42,BL48,BL54,BL60,BL66,BL72,BL78,BL84,BL90,BL96,BL102,BL108)</f>
        <v>4106.6216</v>
      </c>
      <c r="BM7" s="36">
        <f t="shared" si="31"/>
        <v>0.538862519549046</v>
      </c>
      <c r="BN7" s="35">
        <f>SUM(BN12,BN18,BN24,BN30,BN36,BN42,BN48,BN54,BN60,BN66,BN72,BN78,BN84,BN90,BN96,BN102,BN108)</f>
        <v>4109.4725</v>
      </c>
      <c r="BO7" s="36">
        <f t="shared" si="32"/>
        <v>0.571214417509506</v>
      </c>
      <c r="BP7" s="35">
        <f>SUM(BP12,BP18,BP24,BP30,BP36,BP42,BP48,BP54,BP60,BP66,BP72,BP78,BP84,BP90,BP96,BP102,BP108)</f>
        <v>4073.4386</v>
      </c>
      <c r="BQ7" s="36">
        <f t="shared" si="33"/>
        <v>0.5104849295199</v>
      </c>
      <c r="BR7" s="35">
        <f>SUM(BR12,BR18,BR24,BR30,BR36,BR42,BR48,BR54,BR60,BR66,BR72,BR78,BR84,BR90,BR96,BR102,BR108)</f>
        <v>4153.5039</v>
      </c>
      <c r="BS7" s="36">
        <f t="shared" si="34"/>
        <v>0.439333276917482</v>
      </c>
      <c r="BT7" s="35">
        <f>SUM(BT12,BT18,BT24,BT30,BT36,BT42,BT48,BT54,BT60,BT66,BT72,BT78,BT84,BT90,BT96,BT102,BT108)</f>
        <v>4697.0574</v>
      </c>
      <c r="BU7" s="36">
        <f t="shared" si="35"/>
        <v>0.555713829921586</v>
      </c>
      <c r="BV7" s="35">
        <f t="shared" si="36"/>
        <v>46867.6432</v>
      </c>
      <c r="BW7" s="36">
        <f t="shared" si="37"/>
        <v>0.52642445744289</v>
      </c>
      <c r="BX7" s="36">
        <f>BV7/BV5</f>
        <v>0.253422751013253</v>
      </c>
      <c r="BY7" s="41">
        <f>SUM(BY12,BY18,BY24,BY30,BY36,BY42,BY48,BY54,BY60,BY66,BY72,BY78,BY84,BY90,BY96,BY102,BY108)</f>
        <v>1747.4842</v>
      </c>
      <c r="BZ7" s="721">
        <f t="shared" si="38"/>
        <v>1.76516459247118</v>
      </c>
      <c r="CA7" s="41">
        <f>SUM(CA12,CA18,CA24,CA30,CA36,CA42,CA48,CA54,CA60,CA66,CA72,CA78,CA84,CA90,CA96,CA102,CA108)</f>
        <v>2128.9837</v>
      </c>
      <c r="CB7" s="721">
        <f t="shared" si="39"/>
        <v>2.84946314133424</v>
      </c>
      <c r="CC7" s="41">
        <f>SUM(CC12,CC18,CC24,CC30,CC36,CC42,CC48,CC54,CC60,CC66,CC72,CC78,CC84,CC90,CC96,CC102,CC108)</f>
        <v>2428.8844</v>
      </c>
      <c r="CD7" s="721">
        <f t="shared" si="40"/>
        <v>2.7380932447024</v>
      </c>
      <c r="CE7" s="41">
        <f>SUM(CE12,CE18,CE24,CE30,CE36,CE42,CE48,CE54,CE60,CE66,CE72,CE78,CE84,CE90,CE96,CE102,CE108)</f>
        <v>2639.1338</v>
      </c>
      <c r="CF7" s="721">
        <f t="shared" si="41"/>
        <v>3.36466759920391</v>
      </c>
      <c r="CG7" s="41">
        <f>SUM(CG12,CG18,CG24,CG30,CG36,CG42,CG48,CG54,CG60,CG66,CG72,CG78,CG84,CG90,CG96,CG102,CG108)</f>
        <v>2603.2802</v>
      </c>
      <c r="CH7" s="721">
        <f t="shared" si="42"/>
        <v>3.07566456084627</v>
      </c>
      <c r="CI7" s="41">
        <f>SUM(CI12,CI18,CI24,CI30,CI36,CI42,CI48,CI54,CI60,CI66,CI72,CI78,CI84,CI90,CI96,CI102,CI108)</f>
        <v>2688.6066</v>
      </c>
      <c r="CJ7" s="721">
        <f t="shared" si="43"/>
        <v>3.13699058446889</v>
      </c>
      <c r="CK7" s="41">
        <f>SUM(CK12,CK18,CK24,CK30,CK36,CK42,CK48,CK54,CK60,CK66,CK72,CK78,CK84,CK90,CK96,CK102,CK108)</f>
        <v>2582.0253</v>
      </c>
      <c r="CL7" s="721">
        <f t="shared" si="44"/>
        <v>2.97434173493555</v>
      </c>
      <c r="CM7" s="41">
        <f>SUM(CM12,CM18,CM24,CM30,CM36,CM42,CM48,CM54,CM60,CM66,CM72,CM78,CM84,CM90,CM96,CM102,CM108)</f>
        <v>2668.6085</v>
      </c>
      <c r="CN7" s="721">
        <f t="shared" si="45"/>
        <v>3.2767546321211</v>
      </c>
      <c r="CO7" s="41">
        <f>SUM(CO12,CO18,CO24,CO30,CO36,CO42,CO48,CO54,CO60,CO66,CO72,CO78,CO84,CO90,CO96,CO102,CO108)</f>
        <v>2615.4753</v>
      </c>
      <c r="CP7" s="721">
        <f t="shared" si="46"/>
        <v>2.65737159260285</v>
      </c>
      <c r="CQ7" s="41">
        <f>SUM(CQ12,CQ18,CQ24,CQ30,CQ36,CQ42,CQ48,CQ54,CQ60,CQ66,CQ72,CQ78,CQ84,CQ90,CQ96,CQ102,CQ108)</f>
        <v>2696.7754</v>
      </c>
      <c r="CR7" s="721">
        <f t="shared" si="47"/>
        <v>2.6185077464252</v>
      </c>
      <c r="CS7" s="41">
        <f>SUM(CS12,CS18,CS24,CS30,CS36,CS42,CS48,CS54,CS60,CS66,CS72,CS78,CS84,CS90,CS96,CS102,CS108)</f>
        <v>2885.7138</v>
      </c>
      <c r="CT7" s="721">
        <f t="shared" si="48"/>
        <v>1.81499575806546</v>
      </c>
      <c r="CU7" s="41">
        <f>SUM(CU12,CU18,CU24,CU30,CU36,CU42,CU48,CU54,CU60,CU66,CU72,CU78,CU84,CU90,CU96,CU102,CU108)</f>
        <v>3019.2297</v>
      </c>
      <c r="CV7" s="721">
        <f t="shared" si="49"/>
        <v>1.94523968320255</v>
      </c>
      <c r="CW7" s="41">
        <f t="shared" si="50"/>
        <v>30704.2009</v>
      </c>
      <c r="CX7" s="721">
        <f t="shared" si="51"/>
        <v>2.64233454275115</v>
      </c>
      <c r="CY7" s="721">
        <f>CW7/CW5</f>
        <v>0.177434472555482</v>
      </c>
      <c r="CZ7" s="721">
        <f t="shared" si="52"/>
        <v>0.0462678939262786</v>
      </c>
      <c r="DA7" s="721">
        <f t="shared" si="53"/>
        <v>0.0700608586091378</v>
      </c>
      <c r="DB7" s="721">
        <f t="shared" si="54"/>
        <v>0.0310842545521266</v>
      </c>
      <c r="DC7" s="721">
        <f t="shared" si="55"/>
        <v>-0.0199104514581285</v>
      </c>
      <c r="DD7" s="721">
        <f t="shared" si="56"/>
        <v>0.0335330563956904</v>
      </c>
      <c r="DE7" s="721">
        <f t="shared" si="57"/>
        <v>-0.0396418352911874</v>
      </c>
      <c r="DF7" s="721">
        <f t="shared" si="58"/>
        <v>0.0327764948237226</v>
      </c>
      <c r="DG7" s="721">
        <f t="shared" si="59"/>
        <v>-0.0135853665320038</v>
      </c>
      <c r="DH7" s="721">
        <f t="shared" si="60"/>
        <v>0.0865621270407109</v>
      </c>
      <c r="DI7" s="721">
        <f t="shared" si="61"/>
        <v>0.140865662804276</v>
      </c>
      <c r="DJ7" s="721">
        <f t="shared" si="62"/>
        <v>0.218313561862248</v>
      </c>
      <c r="DK7" s="721">
        <f t="shared" si="63"/>
        <v>0.704659904348936</v>
      </c>
      <c r="DL7" s="722"/>
      <c r="DM7" s="41">
        <f t="shared" ref="DM7:DX7" si="71">SUM(DM12,DM18,DM24,DM30,DM36,DM42,DM48,DM54,DM60,DM66,DM72,DM78,DM84,DM90,DM96,DM102,DM108)</f>
        <v>631.9639</v>
      </c>
      <c r="DN7" s="41">
        <f t="shared" si="71"/>
        <v>553.0599</v>
      </c>
      <c r="DO7" s="41">
        <f t="shared" si="71"/>
        <v>649.7656</v>
      </c>
      <c r="DP7" s="41">
        <f t="shared" si="71"/>
        <v>604.6586</v>
      </c>
      <c r="DQ7" s="41">
        <f t="shared" si="71"/>
        <v>638.7376</v>
      </c>
      <c r="DR7" s="41">
        <f t="shared" si="71"/>
        <v>649.8943</v>
      </c>
      <c r="DS7" s="41">
        <f t="shared" si="71"/>
        <v>649.6737</v>
      </c>
      <c r="DT7" s="41">
        <f t="shared" si="71"/>
        <v>623.9798</v>
      </c>
      <c r="DU7" s="41">
        <f t="shared" si="71"/>
        <v>715.1243</v>
      </c>
      <c r="DV7" s="41">
        <f t="shared" si="71"/>
        <v>745.2728</v>
      </c>
      <c r="DW7" s="41">
        <f t="shared" si="71"/>
        <v>942.5611</v>
      </c>
      <c r="DX7" s="41">
        <f t="shared" si="71"/>
        <v>1025.1219</v>
      </c>
      <c r="DY7" s="721">
        <v>0.430379033276427</v>
      </c>
      <c r="DZ7" s="41">
        <f t="shared" si="65"/>
        <v>8429.8135</v>
      </c>
      <c r="EA7" s="36">
        <f t="shared" si="66"/>
        <v>0.0140265602575538</v>
      </c>
      <c r="EB7" s="36">
        <f>DZ7/DZ5</f>
        <v>0.0581449525383049</v>
      </c>
      <c r="EC7" s="41">
        <f t="shared" ref="EC7:EN7" si="72">SUM(EC12,EC18,EC24,EC30,EC36,EC42,EC48,EC54,EC60,EC66,EC72,EC78,EC84,EC90,EC96,EC102,EC108)</f>
        <v>785.25098</v>
      </c>
      <c r="ED7" s="41">
        <f t="shared" si="72"/>
        <v>519.31779</v>
      </c>
      <c r="EE7" s="41">
        <f t="shared" si="72"/>
        <v>694.03236</v>
      </c>
      <c r="EF7" s="50">
        <f t="shared" si="72"/>
        <v>698.01376</v>
      </c>
      <c r="EG7" s="50">
        <f t="shared" si="72"/>
        <v>729.6929</v>
      </c>
      <c r="EH7" s="50">
        <f t="shared" si="72"/>
        <v>717.4151</v>
      </c>
      <c r="EI7" s="50">
        <f t="shared" si="72"/>
        <v>694.7123</v>
      </c>
      <c r="EJ7" s="50">
        <f t="shared" si="72"/>
        <v>647.7486</v>
      </c>
      <c r="EK7" s="50">
        <f t="shared" si="72"/>
        <v>682.7606</v>
      </c>
      <c r="EL7" s="50">
        <f t="shared" si="72"/>
        <v>731.4931</v>
      </c>
      <c r="EM7" s="50">
        <f t="shared" si="72"/>
        <v>696.0918</v>
      </c>
      <c r="EN7" s="50">
        <f t="shared" si="72"/>
        <v>716.6785</v>
      </c>
      <c r="EO7" s="724">
        <f t="shared" si="68"/>
        <v>8313.20779</v>
      </c>
      <c r="EP7" s="36"/>
    </row>
    <row r="8" s="206" customFormat="1" ht="27" customHeight="1" spans="1:147">
      <c r="A8" s="45"/>
      <c r="B8" s="707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-0.148913631357276</v>
      </c>
      <c r="G8" s="35">
        <v>669448.8862</v>
      </c>
      <c r="H8" s="36">
        <f t="shared" si="2"/>
        <v>-0.00965860423140896</v>
      </c>
      <c r="I8" s="35">
        <v>650911.7673</v>
      </c>
      <c r="J8" s="36">
        <f t="shared" si="3"/>
        <v>-0.0434825062221106</v>
      </c>
      <c r="K8" s="35">
        <v>680437.3899</v>
      </c>
      <c r="L8" s="36">
        <f t="shared" si="4"/>
        <v>-0.0623604359067835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0.0576220203764748</v>
      </c>
      <c r="Q8" s="127"/>
      <c r="R8" s="127"/>
      <c r="S8" s="35">
        <f t="shared" si="7"/>
        <v>4357157.3388</v>
      </c>
      <c r="T8" s="36">
        <f t="shared" si="8"/>
        <v>-0.146077185669342</v>
      </c>
      <c r="U8" s="36"/>
      <c r="V8" s="35">
        <f>SUM(V15,V21,V27,V33,V39,V45,V51,V57,V63,V69,V75,V81,V87,V93,V99,V105,V111)</f>
        <v>622895.5764</v>
      </c>
      <c r="W8" s="36">
        <f t="shared" si="9"/>
        <v>0.125681702043471</v>
      </c>
      <c r="X8" s="35">
        <f>SUM(X15,X21,X27,X33,X39,X45,X51,X57,X63,X69,X75,X81,X87,X93,X99,X105,X111)</f>
        <v>588145.0825</v>
      </c>
      <c r="Y8" s="36">
        <f t="shared" si="10"/>
        <v>0.455669362752795</v>
      </c>
      <c r="Z8" s="35">
        <f>SUM(Z15,Z21,Z27,Z33,Z39,Z45,Z51,Z57,Z63,Z69,Z75,Z81,Z87,Z93,Z99,Z105,Z111)</f>
        <v>675977.8891</v>
      </c>
      <c r="AA8" s="36">
        <f t="shared" si="11"/>
        <v>0.246232707905575</v>
      </c>
      <c r="AB8" s="35">
        <f>SUM(AB15,AB21,AB27,AB33,AB39,AB45,AB51,AB57,AB63,AB69,AB75,AB81,AB87,AB93,AB99,AB105,AB111)</f>
        <v>680501.6861</v>
      </c>
      <c r="AC8" s="36">
        <f t="shared" si="12"/>
        <v>0.232660350825816</v>
      </c>
      <c r="AD8" s="35">
        <f>SUM(AD15,AD21,AD27,AD33,AD39,AD45,AD51,AD57,AD63,AD69,AD75,AD81,AD87,AD93,AD99,AD105,AD111)</f>
        <v>725691.85</v>
      </c>
      <c r="AE8" s="36">
        <f t="shared" si="13"/>
        <v>0.304604903382557</v>
      </c>
      <c r="AF8" s="35">
        <f>SUM(AF15,AF21,AF27,AF33,AF39,AF45,AF51,AF57,AF63,AF69,AF75,AF81,AF87,AF93,AF99,AF105,AF111)</f>
        <v>724478.889</v>
      </c>
      <c r="AG8" s="36">
        <f t="shared" si="14"/>
        <v>0.280644824961221</v>
      </c>
      <c r="AH8" s="35">
        <f>SUM(AH15,AH21,AH27,AH33,AH39,AH45,AH51,AH57,AH63,AH69,AH75,AH81,AH87,AH93,AH99,AH105,AH111)</f>
        <v>564737.3311</v>
      </c>
      <c r="AI8" s="36">
        <f t="shared" si="15"/>
        <v>-0.0169508563377226</v>
      </c>
      <c r="AJ8" s="35">
        <f>SUM(AJ15,AJ21,AJ27,AJ33,AJ39,AJ45,AJ51,AJ57,AJ63,AJ69,AJ75,AJ81,AJ87,AJ93,AJ99,AJ105,AJ111)</f>
        <v>520090.6421</v>
      </c>
      <c r="AK8" s="36">
        <f t="shared" si="16"/>
        <v>-0.108132905960469</v>
      </c>
      <c r="AL8" s="35">
        <f>SUM(AL15,AL21,AL27,AL33,AL39,AL45,AL51,AL57,AL63,AL69,AL75,AL81,AL87,AL93,AL99,AL105,AL111)</f>
        <v>563611.916</v>
      </c>
      <c r="AM8" s="36">
        <f t="shared" si="17"/>
        <v>-0.0485408453878281</v>
      </c>
      <c r="AN8" s="35">
        <f>SUM(AN15,AN21,AN27,AN33,AN39,AN45,AN51,AN57,AN63,AN69,AN75,AN81,AN87,AN93,AN99,AN105,AN111)</f>
        <v>543427.3234</v>
      </c>
      <c r="AO8" s="36">
        <f t="shared" si="18"/>
        <v>-0.0801986482132083</v>
      </c>
      <c r="AP8" s="35">
        <f>SUM(AP15,AP21,AP27,AP33,AP39,AP45,AP51,AP57,AP63,AP69,AP75,AP81,AP87,AP93,AP99,AP105,AP111)</f>
        <v>582674.6456</v>
      </c>
      <c r="AQ8" s="36">
        <f t="shared" si="19"/>
        <v>-0.0538742230800257</v>
      </c>
      <c r="AR8" s="35">
        <f>SUM(AR15,AR21,AR27,AR33,AR39,AR45,AR51,AR57,AR63,AR69,AR75,AR81,AR87,AR93,AR99,AR105,AR111)</f>
        <v>642808.1658</v>
      </c>
      <c r="AS8" s="36">
        <f t="shared" si="20"/>
        <v>-0.161678749389643</v>
      </c>
      <c r="AT8" s="35">
        <f t="shared" si="21"/>
        <v>7435040.9971</v>
      </c>
      <c r="AU8" s="36">
        <f t="shared" si="22"/>
        <v>0.0779696110027646</v>
      </c>
      <c r="AV8" s="36">
        <f>AT8/AT6</f>
        <v>0.281592337809906</v>
      </c>
      <c r="AW8" s="35">
        <f t="shared" si="23"/>
        <v>6130483.7703</v>
      </c>
      <c r="AX8" s="35">
        <f>SUM(AX15,AX21,AX27,AX33,AX39,AX45,AX51,AX57,AX63,AX69,AX75,AX81,AX87,AX93,AX99,AX105,AX111)</f>
        <v>553349.6505</v>
      </c>
      <c r="AY8" s="36">
        <f t="shared" si="24"/>
        <v>0.716935825654901</v>
      </c>
      <c r="AZ8" s="41">
        <f>SUM(AZ15,AZ21,AZ27,AZ33,AZ39,AZ45,AZ51,AZ57,AZ63,AZ69,AZ75,AZ81,AZ87,AZ93,AZ99,AZ105,AZ111)</f>
        <v>404037.5497</v>
      </c>
      <c r="BA8" s="36">
        <f t="shared" si="25"/>
        <v>0.102433248210167</v>
      </c>
      <c r="BB8" s="41">
        <f>SUM(BB15,BB21,BB27,BB33,BB39,BB45,BB51,BB57,BB63,BB69,BB75,BB81,BB87,BB93,BB99,BB105,BB111)</f>
        <v>542417.0661</v>
      </c>
      <c r="BC8" s="36">
        <f t="shared" si="26"/>
        <v>0.336974673957378</v>
      </c>
      <c r="BD8" s="35">
        <f>SUM(BD15,BD21,BD27,BD33,BD39,BD45,BD51,BD57,BD63,BD69,BD75,BD81,BD87,BD93,BD99,BD105,BD111)</f>
        <v>552059.3614</v>
      </c>
      <c r="BE8" s="36">
        <f t="shared" si="27"/>
        <v>0.33448026331007</v>
      </c>
      <c r="BF8" s="35">
        <f>SUM(BF15,BF21,BF27,BF33,BF39,BF45,BF51,BF57,BF63,BF69,BF75,BF81,BF87,BF93,BF99,BF105,BF111)</f>
        <v>556254.1181</v>
      </c>
      <c r="BG8" s="36">
        <f t="shared" si="28"/>
        <v>0.31281978445367</v>
      </c>
      <c r="BH8" s="35">
        <f>SUM(BH15,BH21,BH27,BH33,BH39,BH45,BH51,BH57,BH63,BH69,BH75,BH81,BH87,BH93,BH99,BH105,BH111)</f>
        <v>565714.1425</v>
      </c>
      <c r="BI8" s="36">
        <f t="shared" si="29"/>
        <v>0.286210908858998</v>
      </c>
      <c r="BJ8" s="35">
        <f>SUM(BJ15,BJ21,BJ27,BJ33,BJ39,BJ45,BJ51,BJ57,BJ63,BJ69,BJ75,BJ81,BJ87,BJ93,BJ99,BJ105,BJ111)</f>
        <v>574475.1773</v>
      </c>
      <c r="BK8" s="36">
        <f t="shared" si="30"/>
        <v>0.364643325682669</v>
      </c>
      <c r="BL8" s="35">
        <f>SUM(BL15,BL21,BL27,BL33,BL39,BL45,BL51,BL57,BL63,BL69,BL75,BL81,BL87,BL93,BL99,BL105,BL111)</f>
        <v>583148.1457</v>
      </c>
      <c r="BM8" s="36">
        <f t="shared" si="31"/>
        <v>0.346885124175489</v>
      </c>
      <c r="BN8" s="35">
        <f>SUM(BN15,BN21,BN27,BN33,BN39,BN45,BN51,BN57,BN63,BN69,BN75,BN81,BN87,BN93,BN99,BN105,BN111)</f>
        <v>592365.8554</v>
      </c>
      <c r="BO8" s="36">
        <f t="shared" si="32"/>
        <v>0.359705799097688</v>
      </c>
      <c r="BP8" s="35">
        <f>SUM(BP15,BP21,BP27,BP33,BP39,BP45,BP51,BP57,BP63,BP69,BP75,BP81,BP87,BP93,BP99,BP105,BP111)</f>
        <v>590809.442</v>
      </c>
      <c r="BQ8" s="36">
        <f t="shared" si="33"/>
        <v>0.340289757335046</v>
      </c>
      <c r="BR8" s="35">
        <f>SUM(BR15,BR21,BR27,BR33,BR39,BR45,BR51,BR57,BR63,BR69,BR75,BR81,BR87,BR93,BR99,BR105,BR111)</f>
        <v>615853.2616</v>
      </c>
      <c r="BS8" s="36">
        <f t="shared" si="34"/>
        <v>0.324371909792573</v>
      </c>
      <c r="BT8" s="35">
        <f>SUM(BT15,BT21,BT27,BT33,BT39,BT45,BT51,BT57,BT63,BT69,BT75,BT81,BT87,BT93,BT99,BT105,BT111)</f>
        <v>766780.2353</v>
      </c>
      <c r="BU8" s="36">
        <f t="shared" si="35"/>
        <v>0.512304839164663</v>
      </c>
      <c r="BV8" s="35">
        <f t="shared" si="36"/>
        <v>6897264.0056</v>
      </c>
      <c r="BW8" s="36">
        <f t="shared" si="37"/>
        <v>0.359292543769436</v>
      </c>
      <c r="BX8" s="36">
        <f>BV8/BV6</f>
        <v>0.275103765267373</v>
      </c>
      <c r="BY8" s="41">
        <f>SUM(BY15,BY21,BY27,BY33,BY39,BY45,BY51,BY57,BY63,BY69,BY75,BY81,BY87,BY93,BY99,BY105,BY111)</f>
        <v>322289.07</v>
      </c>
      <c r="BZ8" s="721">
        <f t="shared" si="38"/>
        <v>1.90500243096468</v>
      </c>
      <c r="CA8" s="41">
        <f>SUM(CA15,CA21,CA27,CA33,CA39,CA45,CA51,CA57,CA63,CA69,CA75,CA81,CA87,CA93,CA99,CA105,CA111)</f>
        <v>366496.1578</v>
      </c>
      <c r="CB8" s="721">
        <f t="shared" si="39"/>
        <v>2.76482491418575</v>
      </c>
      <c r="CC8" s="41">
        <f>SUM(CC15,CC21,CC27,CC33,CC39,CC45,CC51,CC57,CC63,CC69,CC75,CC81,CC87,CC93,CC99,CC105,CC111)</f>
        <v>405704.8175</v>
      </c>
      <c r="CD8" s="721">
        <f t="shared" si="40"/>
        <v>3.04562230597424</v>
      </c>
      <c r="CE8" s="41">
        <f>SUM(CE15,CE21,CE27,CE33,CE39,CE45,CE51,CE57,CE63,CE69,CE75,CE81,CE87,CE93,CE99,CE105,CE111)</f>
        <v>413688.6671</v>
      </c>
      <c r="CF8" s="721">
        <f t="shared" si="41"/>
        <v>3.5825043158941</v>
      </c>
      <c r="CG8" s="41">
        <f>SUM(CG15,CG21,CG27,CG33,CG39,CG45,CG51,CG57,CG63,CG69,CG75,CG81,CG87,CG93,CG99,CG105,CG111)</f>
        <v>423709.4266</v>
      </c>
      <c r="CH8" s="721">
        <f t="shared" si="42"/>
        <v>3.31485059202415</v>
      </c>
      <c r="CI8" s="41">
        <f>SUM(CI15,CI21,CI27,CI33,CI39,CI45,CI51,CI57,CI63,CI69,CI75,CI81,CI87,CI93,CI99,CI105,CI111)</f>
        <v>439829.9988</v>
      </c>
      <c r="CJ8" s="721">
        <f t="shared" si="43"/>
        <v>3.53227051426328</v>
      </c>
      <c r="CK8" s="41">
        <f>SUM(CK15,CK21,CK27,CK33,CK39,CK45,CK51,CK57,CK63,CK69,CK75,CK81,CK87,CK93,CK99,CK105,CK111)</f>
        <v>420970.9354</v>
      </c>
      <c r="CL8" s="721">
        <f t="shared" si="44"/>
        <v>3.3696092668203</v>
      </c>
      <c r="CM8" s="41">
        <f>SUM(CM15,CM21,CM27,CM33,CM39,CM45,CM51,CM57,CM63,CM69,CM75,CM81,CM87,CM93,CM99,CM105,CM111)</f>
        <v>432960.566</v>
      </c>
      <c r="CN8" s="721">
        <f t="shared" si="45"/>
        <v>3.74963853302546</v>
      </c>
      <c r="CO8" s="41">
        <f>SUM(CO15,CO21,CO27,CO33,CO39,CO45,CO51,CO57,CO63,CO69,CO75,CO81,CO87,CO93,CO99,CO105,CO111)</f>
        <v>435657.3722</v>
      </c>
      <c r="CP8" s="721">
        <f t="shared" si="46"/>
        <v>2.92560294893836</v>
      </c>
      <c r="CQ8" s="41">
        <f>SUM(CQ15,CQ21,CQ27,CQ33,CQ39,CQ45,CQ51,CQ57,CQ63,CQ69,CQ75,CQ81,CQ87,CQ93,CQ99,CQ105,CQ111)</f>
        <v>440807.2499</v>
      </c>
      <c r="CR8" s="721">
        <f t="shared" si="47"/>
        <v>2.4316816987397</v>
      </c>
      <c r="CS8" s="41">
        <f>SUM(CS15,CS21,CS27,CS33,CS39,CS45,CS51,CS57,CS63,CS69,CS75,CS81,CS87,CS93,CS99,CS105,CS111)</f>
        <v>465015.3458</v>
      </c>
      <c r="CT8" s="721">
        <f t="shared" si="48"/>
        <v>1.58978575446259</v>
      </c>
      <c r="CU8" s="41">
        <f>SUM(CU15,CU21,CU27,CU33,CU39,CU45,CU51,CU57,CU63,CU69,CU75,CU81,CU87,CU93,CU99,CU105,CU111)</f>
        <v>507027.5618</v>
      </c>
      <c r="CV8" s="721">
        <f t="shared" si="49"/>
        <v>1.82376220167644</v>
      </c>
      <c r="CW8" s="41">
        <f t="shared" si="50"/>
        <v>5074157.1689</v>
      </c>
      <c r="CX8" s="721">
        <f t="shared" si="51"/>
        <v>2.68109036477682</v>
      </c>
      <c r="CY8" s="721">
        <f>CW8/CW6</f>
        <v>0.209301797373483</v>
      </c>
      <c r="CZ8" s="721">
        <f t="shared" si="52"/>
        <v>0.0903458700437578</v>
      </c>
      <c r="DA8" s="721">
        <f t="shared" si="53"/>
        <v>0.0549176446292383</v>
      </c>
      <c r="DB8" s="721">
        <f t="shared" si="54"/>
        <v>0.0118209355071714</v>
      </c>
      <c r="DC8" s="721">
        <f t="shared" si="55"/>
        <v>0.00622875710117232</v>
      </c>
      <c r="DD8" s="721">
        <f t="shared" si="56"/>
        <v>0.0284808987789322</v>
      </c>
      <c r="DE8" s="721">
        <f t="shared" si="57"/>
        <v>-0.042878074372948</v>
      </c>
      <c r="DF8" s="721">
        <f t="shared" si="58"/>
        <v>0.0380462911324808</v>
      </c>
      <c r="DG8" s="721">
        <f t="shared" si="59"/>
        <v>0.0242229490361594</v>
      </c>
      <c r="DH8" s="721">
        <f t="shared" si="60"/>
        <v>0.0196789617860529</v>
      </c>
      <c r="DI8" s="721">
        <f t="shared" si="61"/>
        <v>0.106982457702589</v>
      </c>
      <c r="DJ8" s="721">
        <f t="shared" si="62"/>
        <v>0.137165954154139</v>
      </c>
      <c r="DK8" s="721">
        <f t="shared" si="63"/>
        <v>0.794907737655559</v>
      </c>
      <c r="DL8" s="722"/>
      <c r="DM8" s="41">
        <f t="shared" ref="DM8:DX8" si="73">SUM(DM15,DM21,DM27,DM33,DM39,DM45,DM51,DM57,DM63,DM69,DM75,DM81,DM87,DM93,DM99,DM105,DM111)</f>
        <v>110942.7884</v>
      </c>
      <c r="DN8" s="41">
        <f t="shared" si="73"/>
        <v>97347.464</v>
      </c>
      <c r="DO8" s="41">
        <f t="shared" si="73"/>
        <v>100282.4255</v>
      </c>
      <c r="DP8" s="41">
        <f t="shared" si="73"/>
        <v>90275.6743</v>
      </c>
      <c r="DQ8" s="41">
        <f t="shared" si="73"/>
        <v>98197.937</v>
      </c>
      <c r="DR8" s="41">
        <f t="shared" si="73"/>
        <v>97044.0748</v>
      </c>
      <c r="DS8" s="41">
        <f t="shared" si="73"/>
        <v>96340.6359</v>
      </c>
      <c r="DT8" s="41">
        <f t="shared" si="73"/>
        <v>91156.5297</v>
      </c>
      <c r="DU8" s="41">
        <f t="shared" si="73"/>
        <v>110978.4606</v>
      </c>
      <c r="DV8" s="41">
        <f t="shared" si="73"/>
        <v>128452.2542</v>
      </c>
      <c r="DW8" s="41">
        <f t="shared" si="73"/>
        <v>177862.9306</v>
      </c>
      <c r="DX8" s="41">
        <f t="shared" si="73"/>
        <v>179557.4576</v>
      </c>
      <c r="DY8" s="721">
        <v>0.783531180045466</v>
      </c>
      <c r="DZ8" s="41">
        <f t="shared" si="65"/>
        <v>1378438.6326</v>
      </c>
      <c r="EA8" s="36">
        <f t="shared" si="66"/>
        <v>0.195371210170612</v>
      </c>
      <c r="EB8" s="36">
        <f>DZ8/DZ6</f>
        <v>0.0669548170831396</v>
      </c>
      <c r="EC8" s="41">
        <f t="shared" ref="EC8:EN8" si="74">SUM(EC15,EC21,EC27,EC33,EC39,EC45,EC51,EC57,EC63,EC69,EC75,EC81,EC87,EC93,EC99,EC105,EC111)</f>
        <v>110604.62423</v>
      </c>
      <c r="ED8" s="41">
        <f t="shared" si="74"/>
        <v>77071.96484</v>
      </c>
      <c r="EE8" s="41">
        <f t="shared" si="74"/>
        <v>96943.12965</v>
      </c>
      <c r="EF8" s="50">
        <f t="shared" si="74"/>
        <v>95953.91117</v>
      </c>
      <c r="EG8" s="50">
        <f t="shared" si="74"/>
        <v>96138.668</v>
      </c>
      <c r="EH8" s="50">
        <f t="shared" si="74"/>
        <v>98149.6995</v>
      </c>
      <c r="EI8" s="50">
        <f t="shared" si="74"/>
        <v>95350.6995</v>
      </c>
      <c r="EJ8" s="50">
        <f t="shared" si="74"/>
        <v>91415.6425</v>
      </c>
      <c r="EK8" s="50">
        <f t="shared" si="74"/>
        <v>94967.6264</v>
      </c>
      <c r="EL8" s="50">
        <f t="shared" si="74"/>
        <v>98220.0813</v>
      </c>
      <c r="EM8" s="50">
        <f t="shared" si="74"/>
        <v>97655.62</v>
      </c>
      <c r="EN8" s="50">
        <f t="shared" si="74"/>
        <v>100675.2557</v>
      </c>
      <c r="EO8" s="724">
        <f t="shared" si="68"/>
        <v>1153146.92279</v>
      </c>
      <c r="EP8" s="36"/>
    </row>
    <row r="9" s="206" customFormat="1" ht="27" customHeight="1" spans="1:147">
      <c r="A9" s="45"/>
      <c r="B9" s="707" t="s">
        <v>85</v>
      </c>
      <c r="C9" s="725">
        <v>13586.5106104432</v>
      </c>
      <c r="D9" s="36">
        <f t="shared" si="0"/>
        <v>0.3194258607523</v>
      </c>
      <c r="E9" s="725">
        <v>7686.5664</v>
      </c>
      <c r="F9" s="36">
        <f t="shared" si="1"/>
        <v>-0.148640307640864</v>
      </c>
      <c r="G9" s="725">
        <v>12483.3601017372</v>
      </c>
      <c r="H9" s="36">
        <f t="shared" si="2"/>
        <v>-0.0272140028488501</v>
      </c>
      <c r="I9" s="725">
        <v>13347.655199574</v>
      </c>
      <c r="J9" s="36">
        <f t="shared" si="3"/>
        <v>0.0185451118609354</v>
      </c>
      <c r="K9" s="725">
        <v>13450.7829278764</v>
      </c>
      <c r="L9" s="36">
        <f t="shared" si="4"/>
        <v>0.0551506131575057</v>
      </c>
      <c r="M9" s="725">
        <v>12602.866717224</v>
      </c>
      <c r="N9" s="36">
        <f t="shared" si="5"/>
        <v>0.108314458719596</v>
      </c>
      <c r="O9" s="725">
        <v>12530.9282413941</v>
      </c>
      <c r="P9" s="36">
        <f t="shared" si="6"/>
        <v>0.0281998749974555</v>
      </c>
      <c r="Q9" s="127"/>
      <c r="R9" s="127"/>
      <c r="S9" s="35">
        <f t="shared" si="7"/>
        <v>85688.6701982489</v>
      </c>
      <c r="T9" s="36">
        <f t="shared" si="8"/>
        <v>-0.0875768817252839</v>
      </c>
      <c r="U9" s="36"/>
      <c r="V9" s="725">
        <f>SUM(V13,V19,V25,V31,V37,V43,V49,V55,V61,V67,V73,V79,V85,V91,V97,V103,V109)</f>
        <v>10297.2899157036</v>
      </c>
      <c r="W9" s="36">
        <f t="shared" si="9"/>
        <v>-0.132552427944513</v>
      </c>
      <c r="X9" s="725">
        <f>SUM(X13,X19,X25,X31,X37,X43,X49,X55,X61,X67,X73,X79,X85,X91,X97,X103,X109)</f>
        <v>9028.57683889211</v>
      </c>
      <c r="Y9" s="36">
        <f t="shared" si="10"/>
        <v>0.693848367354755</v>
      </c>
      <c r="Z9" s="726">
        <f>SUM(Z13,Z19,Z25,Z31,Z37,Z43,Z49,Z55,Z61,Z67,Z73,Z79,Z85,Z91,Z97,Z103,Z109)</f>
        <v>12832.5861374396</v>
      </c>
      <c r="AA9" s="36">
        <f t="shared" si="11"/>
        <v>0.0882300116611687</v>
      </c>
      <c r="AB9" s="35">
        <f>SUM(AB13,AB19,AB25,AB31,AB37,AB43,AB49,AB55,AB61,AB67,AB73,AB79,AB85,AB91,AB97,AB103,AB109)</f>
        <v>13104.6284</v>
      </c>
      <c r="AC9" s="36">
        <f t="shared" si="12"/>
        <v>0.0856486669967613</v>
      </c>
      <c r="AD9" s="35">
        <f>SUM(AD13,AD19,AD25,AD31,AD37,AD43,AD49,AD55,AD61,AD67,AD73,AD79,AD85,AD91,AD97,AD103,AD109)</f>
        <v>12747.7373942146</v>
      </c>
      <c r="AE9" s="36">
        <f t="shared" si="13"/>
        <v>0.0370034201109184</v>
      </c>
      <c r="AF9" s="35">
        <f>SUM(AF13,AF19,AF25,AF31,AF37,AF43,AF49,AF55,AF61,AF67,AF73,AF79,AF85,AF91,AF97,AF103,AF109)</f>
        <v>11371.2012128613</v>
      </c>
      <c r="AG9" s="36">
        <f t="shared" si="14"/>
        <v>0.0349468522205314</v>
      </c>
      <c r="AH9" s="35">
        <f>SUM(AH13,AH19,AH25,AH31,AH37,AH43,AH49,AH55,AH61,AH67,AH73,AH79,AH85,AH91,AH97,AH103,AH109)</f>
        <v>12187.2493336231</v>
      </c>
      <c r="AI9" s="36">
        <f t="shared" si="15"/>
        <v>0.0646500293401351</v>
      </c>
      <c r="AJ9" s="35">
        <f>SUM(AJ13,AJ19,AJ25,AJ31,AJ37,AJ43,AJ49,AJ55,AJ61,AJ67,AJ73,AJ79,AJ85,AJ91,AJ97,AJ103,AJ109)</f>
        <v>12344.0353317927</v>
      </c>
      <c r="AK9" s="36">
        <f t="shared" si="16"/>
        <v>0.0403797962675012</v>
      </c>
      <c r="AL9" s="35">
        <f>SUM(AL13,AL19,AL25,AL31,AL37,AL43,AL49,AL55,AL61,AL67,AL73,AL79,AL85,AL91,AL97,AL103,AL109)</f>
        <v>12716.2455858106</v>
      </c>
      <c r="AM9" s="36">
        <f t="shared" si="17"/>
        <v>0.0481305191037462</v>
      </c>
      <c r="AN9" s="35">
        <f>SUM(AN13,AN19,AN25,AN31,AN37,AN43,AN49,AN55,AN61,AN67,AN73,AN79,AN85,AN91,AN97,AN103,AN109)</f>
        <v>11962.463342165</v>
      </c>
      <c r="AO9" s="36">
        <f t="shared" si="18"/>
        <v>-0.0115442641404562</v>
      </c>
      <c r="AP9" s="35">
        <f>SUM(AP13,AP19,AP25,AP31,AP37,AP43,AP49,AP55,AP61,AP67,AP73,AP79,AP85,AP91,AP97,AP103,AP109)</f>
        <v>13038.1080852297</v>
      </c>
      <c r="AQ9" s="36">
        <f t="shared" si="19"/>
        <v>0.0235322172862031</v>
      </c>
      <c r="AR9" s="35">
        <f>SUM(AR13,AR19,AR25,AR31,AR37,AR43,AR49,AR55,AR61,AR67,AR73,AR79,AR85,AR91,AR97,AR103,AR109)</f>
        <v>13686.0076632821</v>
      </c>
      <c r="AS9" s="36">
        <f t="shared" si="20"/>
        <v>0.0181573127612185</v>
      </c>
      <c r="AT9" s="35">
        <f t="shared" si="21"/>
        <v>145316.129241014</v>
      </c>
      <c r="AU9" s="36">
        <f t="shared" si="22"/>
        <v>0.0524744362256053</v>
      </c>
      <c r="AV9" s="36">
        <f>AT9/AT5</f>
        <v>0.743558985678735</v>
      </c>
      <c r="AW9" s="35">
        <f t="shared" si="23"/>
        <v>124628.996591832</v>
      </c>
      <c r="AX9" s="725">
        <f>SUM(AX13,AX19,AX25,AX31,AX37,AX43,AX49,AX55,AX61,AX67,AX73,AX79,AX85,AX91,AX97,AX103,AX109)</f>
        <v>11870.7922500761</v>
      </c>
      <c r="AY9" s="36">
        <f t="shared" si="24"/>
        <v>0.578655062363832</v>
      </c>
      <c r="AZ9" s="725">
        <f>SUM(AZ13,AZ19,AZ25,AZ31,AZ37,AZ43,AZ49,AZ55,AZ61,AZ67,AZ73,AZ79,AZ85,AZ91,AZ97,AZ103,AZ109)</f>
        <v>5330.21550978133</v>
      </c>
      <c r="BA9" s="36">
        <f t="shared" si="25"/>
        <v>-0.459591403971573</v>
      </c>
      <c r="BB9" s="725">
        <f>SUM(BB13,BB19,BB25,BB31,BB37,BB43,BB49,BB55,BB61,BB67,BB73,BB79,BB85,BB91,BB97,BB103,BB109)</f>
        <v>11792.1634212705</v>
      </c>
      <c r="BC9" s="36">
        <f t="shared" si="26"/>
        <v>-0.0424763398512901</v>
      </c>
      <c r="BD9" s="35">
        <f>SUM(BD13,BD19,BD25,BD31,BD37,BD43,BD49,BD55,BD61,BD67,BD73,BD79,BD85,BD91,BD97,BD103,BD109)</f>
        <v>12070.7820111376</v>
      </c>
      <c r="BE9" s="36">
        <f t="shared" si="27"/>
        <v>0.0348336395485958</v>
      </c>
      <c r="BF9" s="35">
        <f>SUM(BF13,BF19,BF25,BF31,BF37,BF43,BF49,BF55,BF61,BF67,BF73,BF79,BF85,BF91,BF97,BF103,BF109)</f>
        <v>12292.8595479956</v>
      </c>
      <c r="BG9" s="36">
        <f t="shared" si="28"/>
        <v>0.0108345256730495</v>
      </c>
      <c r="BH9" s="35">
        <f>SUM(BH13,BH19,BH25,BH31,BH37,BH43,BH49,BH55,BH61,BH67,BH73,BH79,BH85,BH91,BH97,BH103,BH109)</f>
        <v>10987.2320384992</v>
      </c>
      <c r="BI9" s="36">
        <f t="shared" si="29"/>
        <v>-0.0864851416659765</v>
      </c>
      <c r="BJ9" s="35">
        <f>SUM(BJ13,BJ19,BJ25,BJ31,BJ37,BJ43,BJ49,BJ55,BJ61,BJ67,BJ73,BJ79,BJ85,BJ91,BJ97,BJ103,BJ109)</f>
        <v>11447.1882757348</v>
      </c>
      <c r="BK9" s="36">
        <f t="shared" si="30"/>
        <v>-0.0575396736824931</v>
      </c>
      <c r="BL9" s="35">
        <f>SUM(BL13,BL19,BL25,BL31,BL37,BL43,BL49,BL55,BL61,BL67,BL73,BL79,BL85,BL91,BL97,BL103,BL109)</f>
        <v>11864.9318028652</v>
      </c>
      <c r="BM9" s="36">
        <f t="shared" si="31"/>
        <v>-0.0734291414700939</v>
      </c>
      <c r="BN9" s="35">
        <f>SUM(BN13,BN19,BN25,BN31,BN37,BN43,BN49,BN55,BN61,BN67,BN73,BN79,BN85,BN91,BN97,BN103,BN109)</f>
        <v>12132.3111521304</v>
      </c>
      <c r="BO9" s="36">
        <f t="shared" si="32"/>
        <v>-0.0467957218706104</v>
      </c>
      <c r="BP9" s="35">
        <f>SUM(BP13,BP19,BP25,BP31,BP37,BP43,BP49,BP55,BP61,BP67,BP73,BP79,BP85,BP91,BP97,BP103,BP109)</f>
        <v>12102.1740359093</v>
      </c>
      <c r="BQ9" s="36">
        <f t="shared" si="33"/>
        <v>-0.0372233333687995</v>
      </c>
      <c r="BR9" s="35">
        <f>SUM(BR13,BR19,BR25,BR31,BR37,BR43,BR49,BR55,BR61,BR67,BR73,BR79,BR85,BR91,BR97,BR103,BR109)</f>
        <v>12738.3465464321</v>
      </c>
      <c r="BS9" s="36">
        <f t="shared" si="34"/>
        <v>-0.0353109564608857</v>
      </c>
      <c r="BT9" s="35">
        <f>SUM(BT13,BT19,BT25,BT31,BT37,BT43,BT49,BT55,BT61,BT67,BT73,BT79,BT85,BT91,BT97,BT103,BT109)</f>
        <v>13441.9381874948</v>
      </c>
      <c r="BU9" s="36">
        <f t="shared" si="35"/>
        <v>0.007937879960076</v>
      </c>
      <c r="BV9" s="35">
        <f t="shared" si="36"/>
        <v>138070.934779327</v>
      </c>
      <c r="BW9" s="36">
        <f t="shared" si="37"/>
        <v>-0.0299994933531305</v>
      </c>
      <c r="BX9" s="36"/>
      <c r="BY9" s="41">
        <f>SUM(BY13,BY19,BY25,BY31,BY37,BY43,BY49,BY55,BY61,BY67,BY73,BY79,BY85,BY91,BY97,BY103,BY109)</f>
        <v>7519.5605</v>
      </c>
      <c r="BZ9" s="721">
        <f t="shared" si="38"/>
        <v>-0.253831197920489</v>
      </c>
      <c r="CA9" s="41">
        <f>SUM(CA13,CA19,CA25,CA31,CA37,CA43,CA49,CA55,CA61,CA67,CA73,CA79,CA85,CA91,CA97,CA103,CA109)</f>
        <v>9863.3063</v>
      </c>
      <c r="CB9" s="721">
        <f t="shared" si="39"/>
        <v>0.319272485082672</v>
      </c>
      <c r="CC9" s="41">
        <f>SUM(CC13,CC19,CC25,CC31,CC37,CC43,CC49,CC55,CC61,CC67,CC73,CC79,CC85,CC91,CC97,CC103,CC109)</f>
        <v>12315.2710601836</v>
      </c>
      <c r="CD9" s="721">
        <f t="shared" si="40"/>
        <v>0.0338964720067798</v>
      </c>
      <c r="CE9" s="41">
        <f>SUM(CE13,CE19,CE25,CE31,CE37,CE43,CE49,CE55,CE61,CE67,CE73,CE79,CE85,CE91,CE97,CE103,CE109)</f>
        <v>11664.4662</v>
      </c>
      <c r="CF9" s="721">
        <f t="shared" si="41"/>
        <v>0.0653639994774595</v>
      </c>
      <c r="CG9" s="41">
        <f>SUM(CG13,CG19,CG25,CG31,CG37,CG43,CG49,CG55,CG61,CG67,CG73,CG79,CG85,CG91,CG97,CG103,CG109)</f>
        <v>12161.0998</v>
      </c>
      <c r="CH9" s="721">
        <f t="shared" si="42"/>
        <v>0.0146117662612302</v>
      </c>
      <c r="CI9" s="41">
        <f>SUM(CI13,CI19,CI25,CI31,CI37,CI43,CI49,CI55,CI61,CI67,CI73,CI79,CI85,CI91,CI97,CI103,CI109)</f>
        <v>12027.4256496896</v>
      </c>
      <c r="CJ9" s="721">
        <f t="shared" si="43"/>
        <v>0.0679556572027178</v>
      </c>
      <c r="CK9" s="41">
        <f>SUM(CK13,CK19,CK25,CK31,CK37,CK43,CK49,CK55,CK61,CK67,CK73,CK79,CK85,CK91,CK97,CK103,CK109)</f>
        <v>12146.06913</v>
      </c>
      <c r="CL9" s="721">
        <f t="shared" si="44"/>
        <v>0.0544460665886992</v>
      </c>
      <c r="CM9" s="41">
        <f>SUM(CM13,CM19,CM25,CM31,CM37,CM43,CM49,CM55,CM61,CM67,CM73,CM79,CM85,CM91,CM97,CM103,CM109)</f>
        <v>12805.2071718401</v>
      </c>
      <c r="CN9" s="721">
        <f t="shared" si="45"/>
        <v>0.108527172629421</v>
      </c>
      <c r="CO9" s="41">
        <f>SUM(CO13,CO19,CO25,CO31,CO37,CO43,CO49,CO55,CO61,CO67,CO73,CO79,CO85,CO91,CO97,CO103,CO109)</f>
        <v>12727.9235212198</v>
      </c>
      <c r="CP9" s="721">
        <f t="shared" si="46"/>
        <v>-0.00582647757449195</v>
      </c>
      <c r="CQ9" s="41">
        <f>SUM(CQ13,CQ19,CQ25,CQ31,CQ37,CQ43,CQ49,CQ55,CQ61,CQ67,CQ73,CQ79,CQ85,CQ91,CQ97,CQ103,CQ109)</f>
        <v>12570.0740943955</v>
      </c>
      <c r="CR9" s="721">
        <f t="shared" si="47"/>
        <v>0.053500901936071</v>
      </c>
      <c r="CS9" s="41">
        <f>SUM(CS13,CS19,CS25,CS31,CS37,CS43,CS49,CS55,CS61,CS67,CS73,CS79,CS85,CS91,CS97,CS103,CS109)</f>
        <v>13204.6141</v>
      </c>
      <c r="CT9" s="721">
        <f t="shared" si="48"/>
        <v>0.0399716864257871</v>
      </c>
      <c r="CU9" s="41">
        <f>SUM(CU13,CU19,CU25,CU31,CU37,CU43,CU49,CU55,CU61,CU67,CU73,CU79,CU85,CU91,CU97,CU103,CU109)</f>
        <v>13336.0780011832</v>
      </c>
      <c r="CV9" s="721">
        <f t="shared" si="49"/>
        <v>0.0503255471279789</v>
      </c>
      <c r="CW9" s="41">
        <f t="shared" si="50"/>
        <v>142341.095528512</v>
      </c>
      <c r="CX9" s="721">
        <f t="shared" si="51"/>
        <v>0.0424141270627119</v>
      </c>
      <c r="CY9" s="721"/>
      <c r="CZ9" s="721">
        <f t="shared" si="52"/>
        <v>0.00995590633604304</v>
      </c>
      <c r="DA9" s="721">
        <f t="shared" si="53"/>
        <v>0.0504802120368901</v>
      </c>
      <c r="DB9" s="721">
        <f t="shared" si="54"/>
        <v>-0.0124018208124157</v>
      </c>
      <c r="DC9" s="721">
        <f t="shared" si="55"/>
        <v>-0.00603532997031608</v>
      </c>
      <c r="DD9" s="721">
        <f t="shared" si="56"/>
        <v>0.0542676017059773</v>
      </c>
      <c r="DE9" s="721">
        <f t="shared" si="57"/>
        <v>0.00986441186717824</v>
      </c>
      <c r="DF9" s="721">
        <f t="shared" si="58"/>
        <v>-0.0109919458362134</v>
      </c>
      <c r="DG9" s="721">
        <f t="shared" si="59"/>
        <v>0.0425766247237254</v>
      </c>
      <c r="DH9" s="721">
        <f t="shared" si="60"/>
        <v>-0.0528453541138619</v>
      </c>
      <c r="DI9" s="721">
        <f t="shared" si="61"/>
        <v>0.248594607690893</v>
      </c>
      <c r="DJ9" s="721">
        <f t="shared" si="62"/>
        <v>0.311686540722693</v>
      </c>
      <c r="DK9" s="721">
        <f t="shared" si="63"/>
        <v>-0.407772922772069</v>
      </c>
      <c r="DL9" s="722"/>
      <c r="DM9" s="41">
        <f t="shared" ref="DM9:DX9" si="75">SUM(DM13,DM19,DM25,DM31,DM37,DM43,DM49,DM55,DM61,DM67,DM73,DM79,DM85,DM91,DM97,DM103,DM109)</f>
        <v>10077.5595</v>
      </c>
      <c r="DN9" s="41">
        <f t="shared" si="75"/>
        <v>7476.3223</v>
      </c>
      <c r="DO9" s="41">
        <f t="shared" si="75"/>
        <v>11911.5128</v>
      </c>
      <c r="DP9" s="41">
        <f t="shared" si="75"/>
        <v>10948.8083</v>
      </c>
      <c r="DQ9" s="41">
        <f t="shared" si="75"/>
        <v>11985.9637</v>
      </c>
      <c r="DR9" s="41">
        <f t="shared" si="75"/>
        <v>11262.1021</v>
      </c>
      <c r="DS9" s="41">
        <f t="shared" si="75"/>
        <v>11518.9098</v>
      </c>
      <c r="DT9" s="41">
        <f t="shared" si="75"/>
        <v>11551.5501</v>
      </c>
      <c r="DU9" s="41">
        <f t="shared" si="75"/>
        <v>12802.5171</v>
      </c>
      <c r="DV9" s="41">
        <f t="shared" si="75"/>
        <v>11931.7165</v>
      </c>
      <c r="DW9" s="41">
        <f t="shared" si="75"/>
        <v>12385.4168</v>
      </c>
      <c r="DX9" s="41">
        <f t="shared" si="75"/>
        <v>12697.09</v>
      </c>
      <c r="DY9" s="721">
        <v>-0.0877956382281053</v>
      </c>
      <c r="DZ9" s="41">
        <f t="shared" si="65"/>
        <v>136549.469</v>
      </c>
      <c r="EA9" s="36">
        <f t="shared" si="66"/>
        <v>-0.107498366093258</v>
      </c>
      <c r="EB9" s="723"/>
      <c r="EC9" s="199">
        <f t="shared" ref="EC9:EN9" si="76">SUM(EC13,EC19,EC25,EC31,EC37,EC43,EC49,EC55,EC61,EC67,EC73,EC79,EC85,EC91,EC97,EC103,EC109)</f>
        <v>14160.08508</v>
      </c>
      <c r="ED9" s="50">
        <f t="shared" si="76"/>
        <v>5975.68765</v>
      </c>
      <c r="EE9" s="50">
        <f t="shared" si="76"/>
        <v>11229.9314</v>
      </c>
      <c r="EF9" s="50">
        <f t="shared" si="76"/>
        <v>13660.2776</v>
      </c>
      <c r="EG9" s="50">
        <f t="shared" si="76"/>
        <v>13634.6742</v>
      </c>
      <c r="EH9" s="50">
        <f t="shared" si="76"/>
        <v>14848.9481</v>
      </c>
      <c r="EI9" s="50">
        <f t="shared" si="76"/>
        <v>13054.48</v>
      </c>
      <c r="EJ9" s="50">
        <f t="shared" si="76"/>
        <v>12209.7543</v>
      </c>
      <c r="EK9" s="50">
        <f t="shared" si="76"/>
        <v>13472.9588</v>
      </c>
      <c r="EL9" s="50">
        <f t="shared" si="76"/>
        <v>12429.0617</v>
      </c>
      <c r="EM9" s="50">
        <f t="shared" si="76"/>
        <v>14401.3373</v>
      </c>
      <c r="EN9" s="50">
        <f t="shared" si="76"/>
        <v>13919.1277</v>
      </c>
      <c r="EO9" s="724">
        <f t="shared" si="68"/>
        <v>152996.32383</v>
      </c>
      <c r="EP9" s="36"/>
    </row>
    <row r="10" s="206" customFormat="1" ht="27" customHeight="1" spans="1:147">
      <c r="A10" s="29"/>
      <c r="B10" s="707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-0.0465703689788393</v>
      </c>
      <c r="I10" s="35">
        <v>1688161.481641</v>
      </c>
      <c r="J10" s="36">
        <f t="shared" si="3"/>
        <v>0.000754585546529851</v>
      </c>
      <c r="K10" s="35">
        <v>1689902.87891529</v>
      </c>
      <c r="L10" s="36">
        <f t="shared" si="4"/>
        <v>0.00633394775249441</v>
      </c>
      <c r="M10" s="35">
        <v>1562902.79362902</v>
      </c>
      <c r="N10" s="36">
        <f t="shared" si="5"/>
        <v>0.0440656702863118</v>
      </c>
      <c r="O10" s="35">
        <v>1584647.07107071</v>
      </c>
      <c r="P10" s="36">
        <f t="shared" si="6"/>
        <v>-0.0111214832992061</v>
      </c>
      <c r="Q10" s="127"/>
      <c r="R10" s="127"/>
      <c r="S10" s="35">
        <f t="shared" si="7"/>
        <v>10864961.1075982</v>
      </c>
      <c r="T10" s="36">
        <f t="shared" si="8"/>
        <v>-0.123054385649498</v>
      </c>
      <c r="U10" s="36"/>
      <c r="V10" s="35">
        <f>SUM(V16,V22,V28,V34,V40,V46,V52,V58,V64,V70,V76,V82,V88,V94,V100,V106,V112)</f>
        <v>1330182.82473538</v>
      </c>
      <c r="W10" s="36">
        <f t="shared" si="9"/>
        <v>-0.12859963189029</v>
      </c>
      <c r="X10" s="35">
        <f>SUM(X16,X22,X28,X34,X40,X46,X52,X58,X64,X70,X76,X82,X88,X94,X100,X106,X112)</f>
        <v>1251378.71732675</v>
      </c>
      <c r="Y10" s="36">
        <f t="shared" si="10"/>
        <v>0.560729329456996</v>
      </c>
      <c r="Z10" s="726">
        <f>SUM(Z16,Z22,Z28,Z34,Z40,Z46,Z52,Z58,Z64,Z70,Z76,Z82,Z88,Z94,Z100,Z106,Z112)</f>
        <v>1696159.8767704</v>
      </c>
      <c r="AA10" s="36">
        <f t="shared" si="11"/>
        <v>0.0804201388497003</v>
      </c>
      <c r="AB10" s="35">
        <f>SUM(AB16,AB22,AB28,AB34,AB40,AB46,AB52,AB58,AB64,AB70,AB76,AB82,AB88,AB94,AB100,AB106,AB112)</f>
        <v>1686888.5799</v>
      </c>
      <c r="AC10" s="36">
        <f t="shared" si="12"/>
        <v>0.0714560047377046</v>
      </c>
      <c r="AD10" s="35">
        <f>SUM(AD16,AD22,AD28,AD34,AD40,AD46,AD52,AD58,AD64,AD70,AD76,AD82,AD88,AD94,AD100,AD106,AD112)</f>
        <v>1679266.49268809</v>
      </c>
      <c r="AE10" s="36">
        <f t="shared" si="13"/>
        <v>0.0392569528499187</v>
      </c>
      <c r="AF10" s="35">
        <f>SUM(AF16,AF22,AF28,AF34,AF40,AF46,AF52,AF58,AF64,AF70,AF76,AF82,AF88,AF94,AF100,AF106,AF112)</f>
        <v>1496939.16590556</v>
      </c>
      <c r="AG10" s="36">
        <f t="shared" si="14"/>
        <v>0.0445695860269686</v>
      </c>
      <c r="AH10" s="35">
        <f>SUM(AH16,AH22,AH28,AH34,AH40,AH46,AH52,AH58,AH64,AH70,AH76,AH82,AH88,AH94,AH100,AH106,AH112)</f>
        <v>1602468.90220407</v>
      </c>
      <c r="AI10" s="36">
        <f t="shared" si="15"/>
        <v>0.069749384744707</v>
      </c>
      <c r="AJ10" s="35">
        <f>SUM(AJ16,AJ22,AJ28,AJ34,AJ40,AJ46,AJ52,AJ58,AJ64,AJ70,AJ76,AJ82,AJ88,AJ94,AJ100,AJ106,AJ112)</f>
        <v>1646264.95163893</v>
      </c>
      <c r="AK10" s="36">
        <f t="shared" si="16"/>
        <v>0.0609167911982136</v>
      </c>
      <c r="AL10" s="35">
        <f>SUM(AL16,AL22,AL28,AL34,AL40,AL46,AL52,AL58,AL64,AL70,AL76,AL82,AL88,AL94,AL100,AL106,AL112)</f>
        <v>1700140.39423907</v>
      </c>
      <c r="AM10" s="36">
        <f t="shared" si="17"/>
        <v>0.0622028012658815</v>
      </c>
      <c r="AN10" s="35">
        <f>SUM(AN16,AN22,AN28,AN34,AN40,AN46,AN52,AN58,AN64,AN70,AN76,AN82,AN88,AN94,AN100,AN106,AN112)</f>
        <v>1559213.01955329</v>
      </c>
      <c r="AO10" s="36">
        <f t="shared" si="18"/>
        <v>-0.033893414712692</v>
      </c>
      <c r="AP10" s="35">
        <f>SUM(AP16,AP22,AP28,AP34,AP40,AP46,AP52,AP58,AP64,AP70,AP76,AP82,AP88,AP94,AP100,AP106,AP112)</f>
        <v>1620604.25636898</v>
      </c>
      <c r="AQ10" s="36">
        <f t="shared" si="19"/>
        <v>-0.0189156601615509</v>
      </c>
      <c r="AR10" s="35">
        <f>SUM(AR16,AR22,AR28,AR34,AR40,AR46,AR52,AR58,AR64,AR70,AR76,AR82,AR88,AR94,AR100,AR106,AR112)</f>
        <v>1699014.69876383</v>
      </c>
      <c r="AS10" s="36">
        <f t="shared" si="20"/>
        <v>-0.0216939092902488</v>
      </c>
      <c r="AT10" s="35">
        <f t="shared" si="21"/>
        <v>18968521.8800944</v>
      </c>
      <c r="AU10" s="36">
        <f t="shared" si="22"/>
        <v>0.043703958604054</v>
      </c>
      <c r="AV10" s="36">
        <f>AT10/AT6</f>
        <v>0.718407662190094</v>
      </c>
      <c r="AW10" s="35">
        <f t="shared" si="23"/>
        <v>16437545.5291209</v>
      </c>
      <c r="AX10" s="35">
        <f>SUM(AX16,AX22,AX28,AX34,AX40,AX46,AX52,AX58,AX64,AX70,AX76,AX82,AX88,AX94,AX100,AX106,AX112)</f>
        <v>1526488.71106273</v>
      </c>
      <c r="AY10" s="36">
        <f t="shared" si="24"/>
        <v>0.346146141297912</v>
      </c>
      <c r="AZ10" s="35">
        <f>SUM(AZ16,AZ22,AZ28,AZ34,AZ40,AZ46,AZ52,AZ58,AZ64,AZ70,AZ76,AZ82,AZ88,AZ94,AZ100,AZ106,AZ112)</f>
        <v>801790.992011489</v>
      </c>
      <c r="BA10" s="36">
        <f t="shared" si="25"/>
        <v>-0.415429770628823</v>
      </c>
      <c r="BB10" s="35">
        <f>SUM(BB16,BB22,BB28,BB34,BB40,BB46,BB52,BB58,BB64,BB70,BB76,BB82,BB88,BB94,BB100,BB106,BB112)</f>
        <v>1569907.68292811</v>
      </c>
      <c r="BC10" s="36">
        <f t="shared" si="26"/>
        <v>-0.0493874336915149</v>
      </c>
      <c r="BD10" s="35">
        <f>SUM(BD16,BD22,BD28,BD34,BD40,BD46,BD52,BD58,BD64,BD70,BD76,BD82,BD88,BD94,BD100,BD106,BD112)</f>
        <v>1574389.02991911</v>
      </c>
      <c r="BE10" s="36">
        <f t="shared" si="27"/>
        <v>-0.00581272273561151</v>
      </c>
      <c r="BF10" s="35">
        <f>SUM(BF16,BF22,BF28,BF34,BF40,BF46,BF52,BF58,BF64,BF70,BF76,BF82,BF88,BF94,BF100,BF106,BF112)</f>
        <v>1615833.78209123</v>
      </c>
      <c r="BG10" s="36">
        <f t="shared" si="28"/>
        <v>-0.0038622257290889</v>
      </c>
      <c r="BH10" s="35">
        <f>SUM(BH16,BH22,BH28,BH34,BH40,BH46,BH52,BH58,BH64,BH70,BH76,BH82,BH88,BH94,BH100,BH106,BH112)</f>
        <v>1433067.92187889</v>
      </c>
      <c r="BI10" s="36">
        <f t="shared" si="29"/>
        <v>-0.0875786378179496</v>
      </c>
      <c r="BJ10" s="35">
        <f>SUM(BJ16,BJ22,BJ28,BJ34,BJ40,BJ46,BJ52,BJ58,BJ64,BJ70,BJ76,BJ82,BJ88,BJ94,BJ100,BJ106,BJ112)</f>
        <v>1497985.34596633</v>
      </c>
      <c r="BK10" s="36">
        <f t="shared" si="30"/>
        <v>-0.0693181979559011</v>
      </c>
      <c r="BL10" s="35">
        <f>SUM(BL16,BL22,BL28,BL34,BL40,BL46,BL52,BL58,BL64,BL70,BL76,BL82,BL88,BL94,BL100,BL106,BL112)</f>
        <v>1551738.04891863</v>
      </c>
      <c r="BM10" s="36">
        <f t="shared" si="31"/>
        <v>-0.0826790322075377</v>
      </c>
      <c r="BN10" s="35">
        <f>SUM(BN16,BN22,BN28,BN34,BN40,BN46,BN52,BN58,BN64,BN70,BN76,BN82,BN88,BN94,BN100,BN106,BN112)</f>
        <v>1600579.84427543</v>
      </c>
      <c r="BO10" s="36">
        <f t="shared" si="32"/>
        <v>-0.0653625944637773</v>
      </c>
      <c r="BP10" s="35">
        <f>SUM(BP16,BP22,BP28,BP34,BP40,BP46,BP52,BP58,BP64,BP70,BP76,BP82,BP88,BP94,BP100,BP106,BP112)</f>
        <v>1613914.07873449</v>
      </c>
      <c r="BQ10" s="36">
        <f t="shared" si="33"/>
        <v>-0.0364340081519833</v>
      </c>
      <c r="BR10" s="35">
        <f>SUM(BR16,BR22,BR28,BR34,BR40,BR46,BR52,BR58,BR64,BR70,BR76,BR82,BR88,BR94,BR100,BR106,BR112)</f>
        <v>1651850.09133449</v>
      </c>
      <c r="BS10" s="36">
        <f t="shared" si="34"/>
        <v>-0.0587019417944574</v>
      </c>
      <c r="BT10" s="35">
        <f>SUM(BT16,BT22,BT28,BT34,BT40,BT46,BT52,BT58,BT64,BT70,BT76,BT82,BT88,BT94,BT100,BT106,BT112)</f>
        <v>1736690.30061053</v>
      </c>
      <c r="BU10" s="36">
        <f t="shared" si="35"/>
        <v>-0.0310186961652145</v>
      </c>
      <c r="BV10" s="35">
        <f t="shared" si="36"/>
        <v>18174235.8297315</v>
      </c>
      <c r="BW10" s="36">
        <f t="shared" si="37"/>
        <v>-0.0518993368518402</v>
      </c>
      <c r="BX10" s="36"/>
      <c r="BY10" s="41">
        <f>SUM(BY16,BY22,BY28,BY34,BY40,BY46,BY52,BY58,BY64,BY70,BY76,BY82,BY88,BY94,BY100,BY106,BY112)</f>
        <v>1133969.5329</v>
      </c>
      <c r="BZ10" s="721">
        <f t="shared" si="38"/>
        <v>-0.237194182847452</v>
      </c>
      <c r="CA10" s="41">
        <f>SUM(CA16,CA22,CA28,CA34,CA40,CA46,CA52,CA58,CA64,CA70,CA76,CA82,CA88,CA94,CA100,CA106,CA112)</f>
        <v>1371590.5322</v>
      </c>
      <c r="CB10" s="721">
        <f t="shared" si="39"/>
        <v>0.305652356013212</v>
      </c>
      <c r="CC10" s="41">
        <f>SUM(CC16,CC22,CC28,CC34,CC40,CC46,CC52,CC58,CC64,CC70,CC76,CC82,CC88,CC94,CC100,CC106,CC112)</f>
        <v>1651469.52456618</v>
      </c>
      <c r="CD10" s="721">
        <f t="shared" si="40"/>
        <v>0.0248382501272673</v>
      </c>
      <c r="CE10" s="41">
        <f>SUM(CE16,CE22,CE28,CE34,CE40,CE46,CE52,CE58,CE64,CE70,CE76,CE82,CE88,CE94,CE100,CE106,CE112)</f>
        <v>1583594.0229</v>
      </c>
      <c r="CF10" s="721">
        <f t="shared" si="41"/>
        <v>0.000785913584433695</v>
      </c>
      <c r="CG10" s="41">
        <f>SUM(CG16,CG22,CG28,CG34,CG40,CG46,CG52,CG58,CG64,CG70,CG76,CG82,CG88,CG94,CG100,CG106,CG112)</f>
        <v>1622098.6934</v>
      </c>
      <c r="CH10" s="721">
        <f t="shared" si="42"/>
        <v>-0.0153544249249746</v>
      </c>
      <c r="CI10" s="41">
        <f>SUM(CI16,CI22,CI28,CI34,CI40,CI46,CI52,CI58,CI64,CI70,CI76,CI82,CI88,CI94,CI100,CI106,CI112)</f>
        <v>1570620.74747101</v>
      </c>
      <c r="CJ10" s="721">
        <f t="shared" si="43"/>
        <v>0.0271588570516923</v>
      </c>
      <c r="CK10" s="41">
        <f>SUM(CK16,CK22,CK28,CK34,CK40,CK46,CK52,CK58,CK64,CK70,CK76,CK82,CK88,CK94,CK100,CK106,CK112)</f>
        <v>1609556.932</v>
      </c>
      <c r="CL10" s="721">
        <f t="shared" si="44"/>
        <v>0.0166144050214161</v>
      </c>
      <c r="CM10" s="41">
        <f>SUM(CM16,CM22,CM28,CM34,CM40,CM46,CM52,CM58,CM64,CM70,CM76,CM82,CM88,CM94,CM100,CM106,CM112)</f>
        <v>1691597.71050791</v>
      </c>
      <c r="CN10" s="721">
        <f t="shared" si="45"/>
        <v>0.0590860500692971</v>
      </c>
      <c r="CO10" s="41">
        <f>SUM(CO16,CO22,CO28,CO34,CO40,CO46,CO52,CO58,CO64,CO70,CO76,CO82,CO88,CO94,CO100,CO106,CO112)</f>
        <v>1712514.21652351</v>
      </c>
      <c r="CP10" s="721">
        <f t="shared" si="46"/>
        <v>-0.0374994939644262</v>
      </c>
      <c r="CQ10" s="41">
        <f>SUM(CQ16,CQ22,CQ28,CQ34,CQ40,CQ46,CQ52,CQ58,CQ64,CQ70,CQ76,CQ82,CQ88,CQ94,CQ100,CQ106,CQ112)</f>
        <v>1674938.81310524</v>
      </c>
      <c r="CR10" s="721">
        <f t="shared" si="47"/>
        <v>-0.0465494816919874</v>
      </c>
      <c r="CS10" s="41">
        <f>SUM(CS16,CS22,CS28,CS34,CS40,CS46,CS52,CS58,CS64,CS70,CS76,CS82,CS88,CS94,CS100,CS106,CS112)</f>
        <v>1754864.0167</v>
      </c>
      <c r="CT10" s="721">
        <f t="shared" si="48"/>
        <v>-0.0273098533714224</v>
      </c>
      <c r="CU10" s="41">
        <f>SUM(CU16,CU22,CU28,CU34,CU40,CU46,CU52,CU58,CU64,CU70,CU76,CU82,CU88,CU94,CU100,CU106,CU112)</f>
        <v>1792284.6330858</v>
      </c>
      <c r="CV10" s="721">
        <f t="shared" si="49"/>
        <v>-0.00656826627814822</v>
      </c>
      <c r="CW10" s="41">
        <f t="shared" si="50"/>
        <v>19169099.3753597</v>
      </c>
      <c r="CX10" s="721">
        <f t="shared" si="51"/>
        <v>-0.00208528795053842</v>
      </c>
      <c r="CY10" s="721"/>
      <c r="CZ10" s="721">
        <f t="shared" si="52"/>
        <v>0.0213239407895374</v>
      </c>
      <c r="DA10" s="721">
        <f t="shared" si="53"/>
        <v>0.0477182825840572</v>
      </c>
      <c r="DB10" s="721">
        <f t="shared" si="54"/>
        <v>-0.0219416592608207</v>
      </c>
      <c r="DC10" s="721">
        <f t="shared" si="55"/>
        <v>0.0123649410765161</v>
      </c>
      <c r="DD10" s="721">
        <f t="shared" si="56"/>
        <v>0.050971032385893</v>
      </c>
      <c r="DE10" s="721">
        <f t="shared" si="57"/>
        <v>0.0247903159255249</v>
      </c>
      <c r="DF10" s="721">
        <f t="shared" si="58"/>
        <v>-0.0317353969511494</v>
      </c>
      <c r="DG10" s="721">
        <f t="shared" si="59"/>
        <v>0.0243147359381204</v>
      </c>
      <c r="DH10" s="721">
        <f t="shared" si="60"/>
        <v>-0.0411000630992632</v>
      </c>
      <c r="DI10" s="721">
        <f t="shared" si="61"/>
        <v>0.204054333852291</v>
      </c>
      <c r="DJ10" s="721">
        <f t="shared" si="62"/>
        <v>0.2095479573356</v>
      </c>
      <c r="DK10" s="721">
        <f t="shared" si="63"/>
        <v>-0.371460705369628</v>
      </c>
      <c r="DL10" s="133"/>
      <c r="DM10" s="727">
        <f t="shared" ref="DM10:DX10" si="77">SUM(DM16,DM22,DM28,DM34,DM40,DM46,DM52,DM58,DM64,DM70,DM76,DM82,DM88,DM94,DM100,DM106,DM112)</f>
        <v>1486576.934</v>
      </c>
      <c r="DN10" s="727">
        <f t="shared" si="77"/>
        <v>1050502.0926</v>
      </c>
      <c r="DO10" s="727">
        <f t="shared" si="77"/>
        <v>1611444.0736</v>
      </c>
      <c r="DP10" s="727">
        <f t="shared" si="77"/>
        <v>1582350.4322</v>
      </c>
      <c r="DQ10" s="727">
        <f t="shared" si="77"/>
        <v>1647393.4728</v>
      </c>
      <c r="DR10" s="727">
        <f t="shared" si="77"/>
        <v>1529092.347</v>
      </c>
      <c r="DS10" s="727">
        <f t="shared" si="77"/>
        <v>1583252.1397</v>
      </c>
      <c r="DT10" s="727">
        <f t="shared" si="77"/>
        <v>1597224.0503</v>
      </c>
      <c r="DU10" s="727">
        <f t="shared" si="77"/>
        <v>1779234.6142</v>
      </c>
      <c r="DV10" s="727">
        <f t="shared" si="77"/>
        <v>1756712.8875</v>
      </c>
      <c r="DW10" s="727">
        <f t="shared" si="77"/>
        <v>1781238.283</v>
      </c>
      <c r="DX10" s="727">
        <f t="shared" si="77"/>
        <v>1804134.67</v>
      </c>
      <c r="DY10" s="728">
        <v>0.000189411366727787</v>
      </c>
      <c r="DZ10" s="727">
        <f t="shared" si="65"/>
        <v>19209155.9969</v>
      </c>
      <c r="EA10" s="729">
        <f t="shared" si="66"/>
        <v>-0.0768660515062467</v>
      </c>
      <c r="EB10" s="730"/>
      <c r="EC10" s="199">
        <f t="shared" ref="EC10:EN10" si="78">SUM(EC16,EC22,EC28,EC34,EC40,EC46,EC52,EC58,EC64,EC70,EC76,EC82,EC88,EC94,EC100,EC106,EC112)</f>
        <v>2046508.6776</v>
      </c>
      <c r="ED10" s="50">
        <f t="shared" si="78"/>
        <v>1020210.49936</v>
      </c>
      <c r="EE10" s="50">
        <f t="shared" si="78"/>
        <v>1579936.8259</v>
      </c>
      <c r="EF10" s="50">
        <f t="shared" si="78"/>
        <v>1845669.2682</v>
      </c>
      <c r="EG10" s="50">
        <f t="shared" si="78"/>
        <v>1832917.446</v>
      </c>
      <c r="EH10" s="50">
        <f t="shared" si="78"/>
        <v>1884475.1514</v>
      </c>
      <c r="EI10" s="50">
        <f t="shared" si="78"/>
        <v>1670131.0677</v>
      </c>
      <c r="EJ10" s="50">
        <f t="shared" si="78"/>
        <v>1737653.3134</v>
      </c>
      <c r="EK10" s="50">
        <f t="shared" si="78"/>
        <v>1829273.1984</v>
      </c>
      <c r="EL10" s="50">
        <f t="shared" si="78"/>
        <v>1648063.9783</v>
      </c>
      <c r="EM10" s="50">
        <f t="shared" si="78"/>
        <v>1910001.0507</v>
      </c>
      <c r="EN10" s="50">
        <f t="shared" si="78"/>
        <v>1803793.0136</v>
      </c>
      <c r="EO10" s="724">
        <f t="shared" si="68"/>
        <v>20808633.49056</v>
      </c>
      <c r="EP10" s="36"/>
    </row>
    <row r="11" s="206" customFormat="1" ht="27" customHeight="1" spans="1:147">
      <c r="A11" s="707" t="s">
        <v>87</v>
      </c>
      <c r="B11" s="707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127"/>
      <c r="R11" s="127"/>
      <c r="S11" s="35">
        <f t="shared" si="7"/>
        <v>34306.7779504976</v>
      </c>
      <c r="T11" s="36">
        <f t="shared" si="8"/>
        <v>-0.126674418989907</v>
      </c>
      <c r="U11" s="36"/>
      <c r="V11" s="35">
        <v>4656.86022482053</v>
      </c>
      <c r="W11" s="36">
        <f t="shared" si="9"/>
        <v>-0.0445906316086586</v>
      </c>
      <c r="X11" s="35">
        <v>4023.66051345845</v>
      </c>
      <c r="Y11" s="36">
        <f t="shared" si="10"/>
        <v>0.634786245466896</v>
      </c>
      <c r="Z11" s="35">
        <v>5288.85996688688</v>
      </c>
      <c r="AA11" s="36">
        <f t="shared" si="11"/>
        <v>0.133288745877297</v>
      </c>
      <c r="AB11" s="35">
        <v>5460.10164347465</v>
      </c>
      <c r="AC11" s="36">
        <f t="shared" si="12"/>
        <v>0.105222265053407</v>
      </c>
      <c r="AD11" s="35">
        <v>5241.79632267468</v>
      </c>
      <c r="AE11" s="36">
        <f t="shared" si="13"/>
        <v>0.0857878307738855</v>
      </c>
      <c r="AF11" s="35">
        <v>4848.42478290879</v>
      </c>
      <c r="AG11" s="36">
        <f t="shared" si="14"/>
        <v>0.0813511081979261</v>
      </c>
      <c r="AH11" s="35">
        <v>4878.39440515788</v>
      </c>
      <c r="AI11" s="36">
        <f t="shared" si="15"/>
        <v>0.0267222536448561</v>
      </c>
      <c r="AJ11" s="35">
        <v>4884.82101586532</v>
      </c>
      <c r="AK11" s="36">
        <f t="shared" si="16"/>
        <v>-0.0187212756071464</v>
      </c>
      <c r="AL11" s="35">
        <v>5013.45555264011</v>
      </c>
      <c r="AM11" s="36">
        <f t="shared" si="17"/>
        <v>-0.00890984659374316</v>
      </c>
      <c r="AN11" s="35">
        <v>4807.02884987137</v>
      </c>
      <c r="AO11" s="36">
        <f t="shared" si="18"/>
        <v>-0.0482566922594276</v>
      </c>
      <c r="AP11" s="35">
        <v>5151.97784328582</v>
      </c>
      <c r="AQ11" s="36">
        <f t="shared" si="19"/>
        <v>-0.0195886107476695</v>
      </c>
      <c r="AR11" s="35">
        <v>5606.96890082024</v>
      </c>
      <c r="AS11" s="36">
        <f t="shared" si="20"/>
        <v>-0.0434776885094079</v>
      </c>
      <c r="AT11" s="35">
        <f t="shared" si="21"/>
        <v>59862.3500218647</v>
      </c>
      <c r="AU11" s="36">
        <f t="shared" si="22"/>
        <v>0.0463732173135554</v>
      </c>
      <c r="AV11" s="36"/>
      <c r="AW11" s="35">
        <f t="shared" si="23"/>
        <v>51347.5399704044</v>
      </c>
      <c r="AX11" s="35">
        <v>4874.20406255955</v>
      </c>
      <c r="AY11" s="36">
        <f t="shared" si="24"/>
        <v>0.633003912752377</v>
      </c>
      <c r="AZ11" s="35">
        <v>2461.2762216563</v>
      </c>
      <c r="BA11" s="36">
        <f t="shared" si="25"/>
        <v>-0.325004680564018</v>
      </c>
      <c r="BB11" s="35">
        <v>4666.82474887959</v>
      </c>
      <c r="BC11" s="36">
        <f t="shared" si="26"/>
        <v>0.0230380224292244</v>
      </c>
      <c r="BD11" s="35">
        <v>4940.27474483678</v>
      </c>
      <c r="BE11" s="36">
        <f t="shared" si="27"/>
        <v>0.135469028100497</v>
      </c>
      <c r="BF11" s="35">
        <v>4827.64327809664</v>
      </c>
      <c r="BG11" s="36">
        <f t="shared" si="28"/>
        <v>0.109884903670172</v>
      </c>
      <c r="BH11" s="35">
        <v>4483.67301439095</v>
      </c>
      <c r="BI11" s="36">
        <f t="shared" si="29"/>
        <v>0.0235644052237698</v>
      </c>
      <c r="BJ11" s="35">
        <v>4751.42560496728</v>
      </c>
      <c r="BK11" s="36">
        <f t="shared" si="30"/>
        <v>0.0599724713886529</v>
      </c>
      <c r="BL11" s="35">
        <v>4978.01582204659</v>
      </c>
      <c r="BM11" s="36">
        <f t="shared" si="31"/>
        <v>0.0406429827144743</v>
      </c>
      <c r="BN11" s="35">
        <v>5058.52624547774</v>
      </c>
      <c r="BO11" s="36">
        <f t="shared" si="32"/>
        <v>0.0514351938949464</v>
      </c>
      <c r="BP11" s="35">
        <v>5050.76191319191</v>
      </c>
      <c r="BQ11" s="36">
        <f t="shared" si="33"/>
        <v>0.0775773366751467</v>
      </c>
      <c r="BR11" s="35">
        <v>5254.91431430102</v>
      </c>
      <c r="BS11" s="36">
        <f t="shared" si="34"/>
        <v>0.0647785930150715</v>
      </c>
      <c r="BT11" s="35">
        <v>5861.82761600474</v>
      </c>
      <c r="BU11" s="36">
        <f t="shared" si="35"/>
        <v>0.103508046683173</v>
      </c>
      <c r="BV11" s="35">
        <f t="shared" si="36"/>
        <v>57209.3675864091</v>
      </c>
      <c r="BW11" s="36">
        <f t="shared" si="37"/>
        <v>0.0736383270823422</v>
      </c>
      <c r="BX11" s="36"/>
      <c r="BY11" s="41">
        <v>2984.80856322275</v>
      </c>
      <c r="BZ11" s="721">
        <f t="shared" si="38"/>
        <v>-0.153940424244093</v>
      </c>
      <c r="CA11" s="41">
        <v>3646.36042767365</v>
      </c>
      <c r="CB11" s="721">
        <f t="shared" si="39"/>
        <v>0.446404233273206</v>
      </c>
      <c r="CC11" s="41">
        <v>4561.73147680095</v>
      </c>
      <c r="CD11" s="721">
        <f t="shared" si="40"/>
        <v>0.145268271270572</v>
      </c>
      <c r="CE11" s="41">
        <v>4350.86701845251</v>
      </c>
      <c r="CF11" s="721">
        <f t="shared" si="41"/>
        <v>0.21621651236292</v>
      </c>
      <c r="CG11" s="41">
        <v>4349.67919838586</v>
      </c>
      <c r="CH11" s="721">
        <f t="shared" si="42"/>
        <v>0.179552633675426</v>
      </c>
      <c r="CI11" s="41">
        <v>4380.45030826442</v>
      </c>
      <c r="CJ11" s="721">
        <f t="shared" si="43"/>
        <v>0.234156611708175</v>
      </c>
      <c r="CK11" s="702">
        <v>4482.59340050833</v>
      </c>
      <c r="CL11" s="721">
        <f t="shared" si="44"/>
        <v>0.209965927424411</v>
      </c>
      <c r="CM11" s="41">
        <v>4783.59620420602</v>
      </c>
      <c r="CN11" s="721">
        <f t="shared" si="45"/>
        <v>0.267008424932615</v>
      </c>
      <c r="CO11" s="41">
        <v>4811.06802858566</v>
      </c>
      <c r="CP11" s="721">
        <f t="shared" si="46"/>
        <v>0.135609741733421</v>
      </c>
      <c r="CQ11" s="41">
        <v>4687.14563798825</v>
      </c>
      <c r="CR11" s="721">
        <f t="shared" si="47"/>
        <v>0.190940610899901</v>
      </c>
      <c r="CS11" s="41">
        <v>4935.2178460134</v>
      </c>
      <c r="CT11" s="721">
        <f t="shared" si="48"/>
        <v>0.138609224684155</v>
      </c>
      <c r="CU11" s="41">
        <v>5311.99354062139</v>
      </c>
      <c r="CV11" s="721">
        <f t="shared" si="49"/>
        <v>0.225535535721058</v>
      </c>
      <c r="CW11" s="41">
        <f t="shared" si="50"/>
        <v>53285.5116507232</v>
      </c>
      <c r="CX11" s="721">
        <f t="shared" si="51"/>
        <v>0.184717247272886</v>
      </c>
      <c r="CY11" s="721"/>
      <c r="CZ11" s="721">
        <f t="shared" si="52"/>
        <v>0.0763442884111678</v>
      </c>
      <c r="DA11" s="721">
        <f t="shared" si="53"/>
        <v>0.0529260721097677</v>
      </c>
      <c r="DB11" s="721"/>
      <c r="DC11" s="721"/>
      <c r="DD11" s="721"/>
      <c r="DE11" s="721"/>
      <c r="DF11" s="721"/>
      <c r="DG11" s="721"/>
      <c r="DH11" s="721"/>
      <c r="DI11" s="721"/>
      <c r="DJ11" s="721"/>
      <c r="DK11" s="721"/>
      <c r="DL11" s="133"/>
      <c r="DM11" s="731">
        <v>3527.89407360113</v>
      </c>
      <c r="DN11" s="731">
        <v>2520.982961604</v>
      </c>
      <c r="DO11" s="731">
        <v>3983.11172258367</v>
      </c>
      <c r="DP11" s="731">
        <v>3577.37867741941</v>
      </c>
      <c r="DQ11" s="731">
        <v>3687.56685730291</v>
      </c>
      <c r="DR11" s="731">
        <v>3549.347195249</v>
      </c>
      <c r="DS11" s="731">
        <v>3704.7269670231</v>
      </c>
      <c r="DT11" s="731">
        <v>3775.504653381</v>
      </c>
      <c r="DU11" s="731">
        <v>4236.55050831277</v>
      </c>
      <c r="DV11" s="731">
        <v>3935.66698044375</v>
      </c>
      <c r="DW11" s="731">
        <v>4144.25158863895</v>
      </c>
      <c r="DX11" s="731">
        <v>4334.42636773157</v>
      </c>
      <c r="DY11" s="732">
        <v>-0.0571957893612319</v>
      </c>
      <c r="DZ11" s="731">
        <f t="shared" si="65"/>
        <v>44977.4085532913</v>
      </c>
      <c r="EA11" s="733">
        <f t="shared" si="66"/>
        <v>-0.0886606708350108</v>
      </c>
      <c r="EB11" s="734"/>
      <c r="EC11" s="50">
        <v>4863.52971437481</v>
      </c>
      <c r="ED11" s="50">
        <v>2088.32336458482</v>
      </c>
      <c r="EE11" s="50">
        <v>3828.30677668804</v>
      </c>
      <c r="EF11" s="50">
        <v>4386.97443141278</v>
      </c>
      <c r="EG11" s="50">
        <v>4073.47112694631</v>
      </c>
      <c r="EH11" s="50">
        <v>4516.89765680552</v>
      </c>
      <c r="EI11" s="50">
        <v>4020.77262198426</v>
      </c>
      <c r="EJ11" s="50">
        <v>3939.684481897</v>
      </c>
      <c r="EK11" s="50">
        <v>4321.49838179577</v>
      </c>
      <c r="EL11" s="50">
        <v>3983.34972010582</v>
      </c>
      <c r="EM11" s="50">
        <v>4732.90104242075</v>
      </c>
      <c r="EN11" s="50">
        <v>4597.37697267486</v>
      </c>
      <c r="EO11" s="724">
        <f t="shared" si="68"/>
        <v>49353.0862916907</v>
      </c>
      <c r="EP11" s="36"/>
    </row>
    <row r="12" s="206" customFormat="1" ht="27" customHeight="1" spans="1:147">
      <c r="A12" s="45"/>
      <c r="B12" s="707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127"/>
      <c r="R12" s="127"/>
      <c r="S12" s="35">
        <f t="shared" si="7"/>
        <v>8905.1507</v>
      </c>
      <c r="T12" s="36">
        <f t="shared" si="8"/>
        <v>-0.269544956438055</v>
      </c>
      <c r="U12" s="36"/>
      <c r="V12" s="35">
        <v>1679.333</v>
      </c>
      <c r="W12" s="36">
        <f t="shared" si="9"/>
        <v>0.344569915420984</v>
      </c>
      <c r="X12" s="35">
        <v>1587.8388</v>
      </c>
      <c r="Y12" s="36">
        <f t="shared" si="10"/>
        <v>0.782247217621794</v>
      </c>
      <c r="Z12" s="35">
        <v>1658.7646</v>
      </c>
      <c r="AA12" s="36">
        <f t="shared" si="11"/>
        <v>0.442379291415617</v>
      </c>
      <c r="AB12" s="35">
        <v>1709.4014</v>
      </c>
      <c r="AC12" s="36">
        <f t="shared" si="12"/>
        <v>0.223790543129453</v>
      </c>
      <c r="AD12" s="35">
        <v>1685.1569</v>
      </c>
      <c r="AE12" s="36">
        <f t="shared" si="13"/>
        <v>0.26100623118535</v>
      </c>
      <c r="AF12" s="35">
        <v>1657.0862</v>
      </c>
      <c r="AG12" s="36">
        <f t="shared" si="14"/>
        <v>0.214443340810407</v>
      </c>
      <c r="AH12" s="35">
        <v>1157.9821</v>
      </c>
      <c r="AI12" s="36">
        <f t="shared" si="15"/>
        <v>-0.210545085458111</v>
      </c>
      <c r="AJ12" s="35">
        <v>1055.6742</v>
      </c>
      <c r="AK12" s="36">
        <f t="shared" si="16"/>
        <v>-0.313561309114857</v>
      </c>
      <c r="AL12" s="35">
        <v>1130.5905</v>
      </c>
      <c r="AM12" s="36">
        <f t="shared" si="17"/>
        <v>-0.237238857022575</v>
      </c>
      <c r="AN12" s="35">
        <v>1091.9593</v>
      </c>
      <c r="AO12" s="36">
        <f t="shared" si="18"/>
        <v>-0.272613213113754</v>
      </c>
      <c r="AP12" s="35">
        <v>1282.9303</v>
      </c>
      <c r="AQ12" s="36">
        <f t="shared" si="19"/>
        <v>-0.199810102063748</v>
      </c>
      <c r="AR12" s="35">
        <v>1454.2056</v>
      </c>
      <c r="AS12" s="36">
        <f t="shared" si="20"/>
        <v>-0.203894431399308</v>
      </c>
      <c r="AT12" s="35">
        <f t="shared" si="21"/>
        <v>17150.9229</v>
      </c>
      <c r="AU12" s="36">
        <f t="shared" si="22"/>
        <v>0.020545073128265</v>
      </c>
      <c r="AV12" s="36">
        <v>0.0506134964454197</v>
      </c>
      <c r="AW12" s="35">
        <f t="shared" si="23"/>
        <v>14979.0004</v>
      </c>
      <c r="AX12" s="35">
        <v>1248.9741</v>
      </c>
      <c r="AY12" s="36">
        <f t="shared" si="24"/>
        <v>1.48368637609121</v>
      </c>
      <c r="AZ12" s="35">
        <v>890.9195</v>
      </c>
      <c r="BA12" s="36">
        <f t="shared" si="25"/>
        <v>0.550507606527409</v>
      </c>
      <c r="BB12" s="35">
        <v>1150.0197</v>
      </c>
      <c r="BC12" s="36">
        <f t="shared" si="26"/>
        <v>0.732974719195094</v>
      </c>
      <c r="BD12" s="35">
        <v>1396.8088</v>
      </c>
      <c r="BE12" s="36">
        <f t="shared" si="27"/>
        <v>0.969629430545477</v>
      </c>
      <c r="BF12" s="35">
        <v>1336.3589</v>
      </c>
      <c r="BG12" s="36">
        <f t="shared" si="28"/>
        <v>0.833759837860127</v>
      </c>
      <c r="BH12" s="35">
        <v>1364.4821</v>
      </c>
      <c r="BI12" s="36">
        <f t="shared" si="29"/>
        <v>0.936841942397607</v>
      </c>
      <c r="BJ12" s="35">
        <v>1466.8122</v>
      </c>
      <c r="BK12" s="36">
        <f t="shared" si="30"/>
        <v>0.877326656856902</v>
      </c>
      <c r="BL12" s="35">
        <v>1537.9002</v>
      </c>
      <c r="BM12" s="36">
        <f t="shared" si="31"/>
        <v>0.877397041040023</v>
      </c>
      <c r="BN12" s="35">
        <v>1482.234</v>
      </c>
      <c r="BO12" s="36">
        <f t="shared" si="32"/>
        <v>0.815582366349463</v>
      </c>
      <c r="BP12" s="35">
        <v>1501.2086</v>
      </c>
      <c r="BQ12" s="36">
        <f t="shared" si="33"/>
        <v>0.73549003613387</v>
      </c>
      <c r="BR12" s="35">
        <v>1603.2823</v>
      </c>
      <c r="BS12" s="36">
        <f t="shared" si="34"/>
        <v>0.830781424460277</v>
      </c>
      <c r="BT12" s="35">
        <v>1826.6492</v>
      </c>
      <c r="BU12" s="36">
        <f t="shared" si="35"/>
        <v>1.00329252316923</v>
      </c>
      <c r="BV12" s="35">
        <f t="shared" si="36"/>
        <v>16805.6496</v>
      </c>
      <c r="BW12" s="36">
        <f t="shared" si="37"/>
        <v>0.877106871889085</v>
      </c>
      <c r="BX12" s="36"/>
      <c r="BY12" s="41">
        <v>502.8711</v>
      </c>
      <c r="BZ12" s="721">
        <f t="shared" si="38"/>
        <v>1.54507326173248</v>
      </c>
      <c r="CA12" s="41">
        <v>574.5986</v>
      </c>
      <c r="CB12" s="721">
        <f t="shared" si="39"/>
        <v>2.36685311554791</v>
      </c>
      <c r="CC12" s="41">
        <v>663.6102</v>
      </c>
      <c r="CD12" s="721">
        <f t="shared" si="40"/>
        <v>2.27353097868982</v>
      </c>
      <c r="CE12" s="41">
        <v>709.1734</v>
      </c>
      <c r="CF12" s="721">
        <f t="shared" si="41"/>
        <v>3.08869196730999</v>
      </c>
      <c r="CG12" s="41">
        <v>728.7535</v>
      </c>
      <c r="CH12" s="721">
        <f t="shared" si="42"/>
        <v>3.14981456183578</v>
      </c>
      <c r="CI12" s="41">
        <v>704.4881</v>
      </c>
      <c r="CJ12" s="721">
        <f t="shared" si="43"/>
        <v>2.93313007630792</v>
      </c>
      <c r="CK12" s="702">
        <v>781.3303</v>
      </c>
      <c r="CL12" s="721">
        <f t="shared" si="44"/>
        <v>2.99601028192439</v>
      </c>
      <c r="CM12" s="41">
        <v>819.1662</v>
      </c>
      <c r="CN12" s="721">
        <f t="shared" si="45"/>
        <v>3.50581263912793</v>
      </c>
      <c r="CO12" s="41">
        <v>816.3959</v>
      </c>
      <c r="CP12" s="721">
        <f t="shared" si="46"/>
        <v>3.3898743093737</v>
      </c>
      <c r="CQ12" s="41">
        <v>865.0056</v>
      </c>
      <c r="CR12" s="721">
        <f t="shared" si="47"/>
        <v>3.91934935343675</v>
      </c>
      <c r="CS12" s="41">
        <v>875.7366</v>
      </c>
      <c r="CT12" s="721">
        <f t="shared" si="48"/>
        <v>3.57393514340152</v>
      </c>
      <c r="CU12" s="41">
        <v>911.8235</v>
      </c>
      <c r="CV12" s="721">
        <f t="shared" si="49"/>
        <v>3.76241549254579</v>
      </c>
      <c r="CW12" s="41">
        <f t="shared" si="50"/>
        <v>8952.953</v>
      </c>
      <c r="CX12" s="721">
        <f t="shared" si="51"/>
        <v>3.09555319306611</v>
      </c>
      <c r="CY12" s="721"/>
      <c r="CZ12" s="721">
        <f t="shared" si="52"/>
        <v>0.0412074817930415</v>
      </c>
      <c r="DA12" s="721">
        <f t="shared" si="53"/>
        <v>0.0124057000324622</v>
      </c>
      <c r="DB12" s="721"/>
      <c r="DC12" s="721"/>
      <c r="DD12" s="721"/>
      <c r="DE12" s="721"/>
      <c r="DF12" s="721"/>
      <c r="DG12" s="721"/>
      <c r="DH12" s="721"/>
      <c r="DI12" s="721"/>
      <c r="DJ12" s="721"/>
      <c r="DK12" s="721"/>
      <c r="DL12" s="735" t="s">
        <v>87</v>
      </c>
      <c r="DM12" s="731">
        <v>197.5861</v>
      </c>
      <c r="DN12" s="731">
        <v>170.6634</v>
      </c>
      <c r="DO12" s="731">
        <v>202.72</v>
      </c>
      <c r="DP12" s="731">
        <v>173.4475</v>
      </c>
      <c r="DQ12" s="731">
        <v>175.6111</v>
      </c>
      <c r="DR12" s="731">
        <v>179.1164</v>
      </c>
      <c r="DS12" s="731">
        <v>195.5276</v>
      </c>
      <c r="DT12" s="731">
        <v>181.8021</v>
      </c>
      <c r="DU12" s="731">
        <v>185.9725</v>
      </c>
      <c r="DV12" s="731">
        <v>175.8374</v>
      </c>
      <c r="DW12" s="731">
        <v>156.2715</v>
      </c>
      <c r="DX12" s="731">
        <v>191.4624</v>
      </c>
      <c r="DY12" s="732">
        <v>-0.171014535423682</v>
      </c>
      <c r="DZ12" s="731">
        <f t="shared" si="65"/>
        <v>2186.018</v>
      </c>
      <c r="EA12" s="733">
        <f t="shared" si="66"/>
        <v>-0.176043622620352</v>
      </c>
      <c r="EB12" s="733"/>
      <c r="EC12" s="50">
        <v>281.7984</v>
      </c>
      <c r="ED12" s="50">
        <v>158.6914</v>
      </c>
      <c r="EE12" s="50">
        <v>244.86636</v>
      </c>
      <c r="EF12" s="50">
        <v>240.82636</v>
      </c>
      <c r="EG12" s="50">
        <v>236.0501</v>
      </c>
      <c r="EH12" s="50">
        <v>226.246</v>
      </c>
      <c r="EI12" s="50">
        <v>223.3899</v>
      </c>
      <c r="EJ12" s="50">
        <v>183.2319</v>
      </c>
      <c r="EK12" s="50">
        <v>195.7</v>
      </c>
      <c r="EL12" s="50">
        <v>209.6869</v>
      </c>
      <c r="EM12" s="50">
        <v>221.6277</v>
      </c>
      <c r="EN12" s="50">
        <v>230.9599</v>
      </c>
      <c r="EO12" s="724">
        <f t="shared" si="68"/>
        <v>2653.07492</v>
      </c>
      <c r="EP12" s="36"/>
    </row>
    <row r="13" s="206" customFormat="1" ht="27" customHeight="1" spans="1:147">
      <c r="A13" s="45"/>
      <c r="B13" s="707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0.137291936063122</v>
      </c>
      <c r="O13" s="35">
        <v>3713.42161207247</v>
      </c>
      <c r="P13" s="36">
        <f t="shared" si="6"/>
        <v>-0.00187901031176518</v>
      </c>
      <c r="Q13" s="127"/>
      <c r="R13" s="127"/>
      <c r="S13" s="35">
        <f t="shared" si="7"/>
        <v>25401.6272504976</v>
      </c>
      <c r="T13" s="36">
        <f t="shared" si="8"/>
        <v>-0.062382780257371</v>
      </c>
      <c r="U13" s="36"/>
      <c r="V13" s="35">
        <v>2977.52722482053</v>
      </c>
      <c r="W13" s="36">
        <f t="shared" si="9"/>
        <v>-0.17866528314847</v>
      </c>
      <c r="X13" s="35">
        <v>2435.82171345845</v>
      </c>
      <c r="Y13" s="36">
        <f t="shared" si="10"/>
        <v>0.551126365026998</v>
      </c>
      <c r="Z13" s="35">
        <v>3630.09536688688</v>
      </c>
      <c r="AA13" s="36">
        <f t="shared" si="11"/>
        <v>0.0322139886722987</v>
      </c>
      <c r="AB13" s="35">
        <v>3750.70024347465</v>
      </c>
      <c r="AC13" s="36">
        <f t="shared" si="12"/>
        <v>0.058483502272636</v>
      </c>
      <c r="AD13" s="35">
        <v>3556.63942267468</v>
      </c>
      <c r="AE13" s="36">
        <f t="shared" si="13"/>
        <v>0.0187194847226022</v>
      </c>
      <c r="AF13" s="35">
        <v>3191.33858290879</v>
      </c>
      <c r="AG13" s="36">
        <f t="shared" si="14"/>
        <v>0.0231302509201901</v>
      </c>
      <c r="AH13" s="35">
        <v>3720.41230515788</v>
      </c>
      <c r="AI13" s="36">
        <f t="shared" si="15"/>
        <v>0.132678902038075</v>
      </c>
      <c r="AJ13" s="35">
        <v>3829.14681586532</v>
      </c>
      <c r="AK13" s="36">
        <f t="shared" si="16"/>
        <v>0.113086662356798</v>
      </c>
      <c r="AL13" s="35">
        <v>3882.86505264011</v>
      </c>
      <c r="AM13" s="36">
        <f t="shared" si="17"/>
        <v>0.0857236450824272</v>
      </c>
      <c r="AN13" s="35">
        <v>3715.06954987137</v>
      </c>
      <c r="AO13" s="36">
        <f t="shared" si="18"/>
        <v>0.0466301593680305</v>
      </c>
      <c r="AP13" s="35">
        <v>3869.04754328582</v>
      </c>
      <c r="AQ13" s="36">
        <f t="shared" si="19"/>
        <v>0.0595392767215668</v>
      </c>
      <c r="AR13" s="35">
        <v>4152.76330082024</v>
      </c>
      <c r="AS13" s="36">
        <f t="shared" si="20"/>
        <v>0.0291399469101845</v>
      </c>
      <c r="AT13" s="35">
        <f t="shared" si="21"/>
        <v>42711.4271218647</v>
      </c>
      <c r="AU13" s="36">
        <f t="shared" si="22"/>
        <v>0.0571162568809112</v>
      </c>
      <c r="AV13" s="36"/>
      <c r="AW13" s="35">
        <f t="shared" si="23"/>
        <v>36368.5395704043</v>
      </c>
      <c r="AX13" s="35">
        <v>3625.22996255955</v>
      </c>
      <c r="AY13" s="36">
        <f t="shared" si="24"/>
        <v>0.460645167848934</v>
      </c>
      <c r="AZ13" s="35">
        <v>1570.3567216563</v>
      </c>
      <c r="BA13" s="36">
        <f t="shared" si="25"/>
        <v>-0.488776536153005</v>
      </c>
      <c r="BB13" s="35">
        <v>3516.80504887959</v>
      </c>
      <c r="BC13" s="36">
        <f t="shared" si="26"/>
        <v>-0.0978205142540596</v>
      </c>
      <c r="BD13" s="35">
        <v>3543.46594483678</v>
      </c>
      <c r="BE13" s="36">
        <f t="shared" si="27"/>
        <v>-0.0269730745930983</v>
      </c>
      <c r="BF13" s="35">
        <v>3491.28437809664</v>
      </c>
      <c r="BG13" s="36">
        <f t="shared" si="28"/>
        <v>-0.0358033638599686</v>
      </c>
      <c r="BH13" s="35">
        <v>3119.19091439095</v>
      </c>
      <c r="BI13" s="36">
        <f t="shared" si="29"/>
        <v>-0.151462736102596</v>
      </c>
      <c r="BJ13" s="35">
        <v>3284.61340496728</v>
      </c>
      <c r="BK13" s="36">
        <f t="shared" si="30"/>
        <v>-0.112569596979968</v>
      </c>
      <c r="BL13" s="35">
        <v>3440.11562204659</v>
      </c>
      <c r="BM13" s="36">
        <f t="shared" si="31"/>
        <v>-0.132254670054248</v>
      </c>
      <c r="BN13" s="35">
        <v>3576.29224547774</v>
      </c>
      <c r="BO13" s="36">
        <f t="shared" si="32"/>
        <v>-0.104734473729149</v>
      </c>
      <c r="BP13" s="35">
        <v>3549.55331319191</v>
      </c>
      <c r="BQ13" s="36">
        <f t="shared" si="33"/>
        <v>-0.0713178277318728</v>
      </c>
      <c r="BR13" s="35">
        <v>3651.63201430102</v>
      </c>
      <c r="BS13" s="36">
        <f t="shared" si="34"/>
        <v>-0.100468312820242</v>
      </c>
      <c r="BT13" s="35">
        <v>4035.17841600474</v>
      </c>
      <c r="BU13" s="36">
        <f t="shared" si="35"/>
        <v>-0.0829494363279435</v>
      </c>
      <c r="BV13" s="35">
        <f t="shared" si="36"/>
        <v>40403.7179864091</v>
      </c>
      <c r="BW13" s="36">
        <f t="shared" si="37"/>
        <v>-0.0886220146973179</v>
      </c>
      <c r="BX13" s="36"/>
      <c r="BY13" s="41">
        <v>2481.93746322275</v>
      </c>
      <c r="BZ13" s="721">
        <f t="shared" si="38"/>
        <v>-0.254742359296284</v>
      </c>
      <c r="CA13" s="41">
        <v>3071.76182767365</v>
      </c>
      <c r="CB13" s="721">
        <f t="shared" si="39"/>
        <v>0.306954968105398</v>
      </c>
      <c r="CC13" s="41">
        <v>3898.12127680095</v>
      </c>
      <c r="CD13" s="721">
        <f t="shared" si="40"/>
        <v>0.0311421574420385</v>
      </c>
      <c r="CE13" s="41">
        <v>3641.69361845251</v>
      </c>
      <c r="CF13" s="721">
        <f t="shared" si="41"/>
        <v>0.0698493678751027</v>
      </c>
      <c r="CG13" s="41">
        <v>3620.92569838586</v>
      </c>
      <c r="CH13" s="721">
        <f t="shared" si="42"/>
        <v>0.0310282784332785</v>
      </c>
      <c r="CI13" s="41">
        <v>3675.96220826442</v>
      </c>
      <c r="CJ13" s="721">
        <f t="shared" si="43"/>
        <v>0.0907152748845592</v>
      </c>
      <c r="CK13" s="702">
        <v>3701.26310050833</v>
      </c>
      <c r="CL13" s="721">
        <f t="shared" si="44"/>
        <v>0.0547314966741717</v>
      </c>
      <c r="CM13" s="41">
        <v>3964.43000420602</v>
      </c>
      <c r="CN13" s="721">
        <f t="shared" si="45"/>
        <v>0.103160304816055</v>
      </c>
      <c r="CO13" s="41">
        <v>3994.67212858566</v>
      </c>
      <c r="CP13" s="721">
        <f t="shared" si="46"/>
        <v>-0.0138019511320058</v>
      </c>
      <c r="CQ13" s="41">
        <v>3822.14003798825</v>
      </c>
      <c r="CR13" s="721">
        <f t="shared" si="47"/>
        <v>0.0165726813440161</v>
      </c>
      <c r="CS13" s="41">
        <v>4059.4812460134</v>
      </c>
      <c r="CT13" s="721">
        <f t="shared" si="48"/>
        <v>-0.0201504822075197</v>
      </c>
      <c r="CU13" s="41">
        <v>4400.17004062139</v>
      </c>
      <c r="CV13" s="721">
        <f t="shared" si="49"/>
        <v>0.0620826236706684</v>
      </c>
      <c r="CW13" s="41">
        <f t="shared" si="50"/>
        <v>44332.5586507232</v>
      </c>
      <c r="CX13" s="721">
        <f t="shared" si="51"/>
        <v>0.0360158451853205</v>
      </c>
      <c r="CY13" s="721"/>
      <c r="CZ13" s="721">
        <f t="shared" si="52"/>
        <v>0.0839242193673295</v>
      </c>
      <c r="DA13" s="721">
        <f t="shared" si="53"/>
        <v>0.0620964186728419</v>
      </c>
      <c r="DB13" s="721"/>
      <c r="DC13" s="721"/>
      <c r="DD13" s="721"/>
      <c r="DE13" s="721"/>
      <c r="DF13" s="721"/>
      <c r="DG13" s="721"/>
      <c r="DH13" s="721"/>
      <c r="DI13" s="721"/>
      <c r="DJ13" s="721"/>
      <c r="DK13" s="721"/>
      <c r="DL13" s="206"/>
      <c r="DM13" s="731">
        <v>3330.30797360113</v>
      </c>
      <c r="DN13" s="731">
        <v>2350.319561604</v>
      </c>
      <c r="DO13" s="731">
        <v>3780.39172258367</v>
      </c>
      <c r="DP13" s="731">
        <v>3403.93117741941</v>
      </c>
      <c r="DQ13" s="731">
        <v>3511.95575730291</v>
      </c>
      <c r="DR13" s="731">
        <v>3370.230795249</v>
      </c>
      <c r="DS13" s="731">
        <v>3509.1993670231</v>
      </c>
      <c r="DT13" s="731">
        <v>3593.702553381</v>
      </c>
      <c r="DU13" s="731">
        <v>4050.57800831277</v>
      </c>
      <c r="DV13" s="731">
        <v>3759.82958044375</v>
      </c>
      <c r="DW13" s="731">
        <v>3987.98008863895</v>
      </c>
      <c r="DX13" s="731">
        <v>4142.96396773157</v>
      </c>
      <c r="DY13" s="732">
        <v>-0.0511753919115204</v>
      </c>
      <c r="DZ13" s="731">
        <f t="shared" si="65"/>
        <v>42791.3905532913</v>
      </c>
      <c r="EA13" s="733">
        <f t="shared" si="66"/>
        <v>-0.0836963568871604</v>
      </c>
      <c r="EB13" s="733"/>
      <c r="EC13" s="50">
        <v>4581.73131437481</v>
      </c>
      <c r="ED13" s="50">
        <v>1929.63196458482</v>
      </c>
      <c r="EE13" s="50">
        <v>3583.44041668804</v>
      </c>
      <c r="EF13" s="50">
        <v>4146.14807141278</v>
      </c>
      <c r="EG13" s="50">
        <v>3837.42102694631</v>
      </c>
      <c r="EH13" s="50">
        <v>4290.65165680552</v>
      </c>
      <c r="EI13" s="50">
        <v>3797.38272198426</v>
      </c>
      <c r="EJ13" s="50">
        <v>3756.452581897</v>
      </c>
      <c r="EK13" s="50">
        <v>4125.79838179577</v>
      </c>
      <c r="EL13" s="50">
        <v>3773.66282010582</v>
      </c>
      <c r="EM13" s="50">
        <v>4511.27334242075</v>
      </c>
      <c r="EN13" s="50">
        <v>4366.41707267486</v>
      </c>
      <c r="EO13" s="724">
        <f t="shared" si="68"/>
        <v>46700.0113716907</v>
      </c>
      <c r="EP13" s="36"/>
    </row>
    <row r="14" s="206" customFormat="1" ht="27" customHeight="1" spans="1:147">
      <c r="A14" s="45"/>
      <c r="B14" s="707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127"/>
      <c r="R14" s="127"/>
      <c r="S14" s="35">
        <f t="shared" si="7"/>
        <v>4595529.5523622</v>
      </c>
      <c r="T14" s="36">
        <f t="shared" si="8"/>
        <v>-0.136096288133619</v>
      </c>
      <c r="U14" s="36"/>
      <c r="V14" s="35">
        <f>V15+V16</f>
        <v>616800.202956188</v>
      </c>
      <c r="W14" s="36">
        <f t="shared" si="9"/>
        <v>-0.0318300720053944</v>
      </c>
      <c r="X14" s="35">
        <f>X15+X16</f>
        <v>558388.188923585</v>
      </c>
      <c r="Y14" s="36">
        <f t="shared" si="10"/>
        <v>0.538403463503662</v>
      </c>
      <c r="Z14" s="35">
        <f>Z15+Z16</f>
        <v>705459.878265622</v>
      </c>
      <c r="AA14" s="36">
        <f t="shared" si="11"/>
        <v>0.138001831592155</v>
      </c>
      <c r="AB14" s="35">
        <f>AB15+AB16</f>
        <v>715686.825439217</v>
      </c>
      <c r="AC14" s="36">
        <f t="shared" si="12"/>
        <v>0.128328666391068</v>
      </c>
      <c r="AD14" s="35">
        <f>AD15+AD16</f>
        <v>723438.399797424</v>
      </c>
      <c r="AE14" s="36">
        <f t="shared" si="13"/>
        <v>0.118882770877685</v>
      </c>
      <c r="AF14" s="35">
        <f>AF15+AF16</f>
        <v>677713.672810674</v>
      </c>
      <c r="AG14" s="36">
        <f t="shared" si="14"/>
        <v>0.128687277872237</v>
      </c>
      <c r="AH14" s="35">
        <f>AH15+AH16</f>
        <v>662505.999946196</v>
      </c>
      <c r="AI14" s="36">
        <f t="shared" si="15"/>
        <v>0.0375479053944874</v>
      </c>
      <c r="AJ14" s="35">
        <f>AJ15+AJ16</f>
        <v>659499.605464298</v>
      </c>
      <c r="AK14" s="36">
        <f t="shared" si="16"/>
        <v>-0.004654769880031</v>
      </c>
      <c r="AL14" s="35">
        <f>AL15+AL16</f>
        <v>692383.634176939</v>
      </c>
      <c r="AM14" s="36">
        <f t="shared" si="17"/>
        <v>0.0116681436304957</v>
      </c>
      <c r="AN14" s="35">
        <f>AN15+AN16</f>
        <v>643793.390952201</v>
      </c>
      <c r="AO14" s="36">
        <f t="shared" si="18"/>
        <v>-0.0599449859557967</v>
      </c>
      <c r="AP14" s="35">
        <f>AP15+AP16</f>
        <v>666125.441109964</v>
      </c>
      <c r="AQ14" s="36">
        <f t="shared" si="19"/>
        <v>-0.0412729874962992</v>
      </c>
      <c r="AR14" s="35">
        <f>AR15+AR16</f>
        <v>721624.597594126</v>
      </c>
      <c r="AS14" s="36">
        <f t="shared" si="20"/>
        <v>-0.0858944249881617</v>
      </c>
      <c r="AT14" s="35">
        <f t="shared" si="21"/>
        <v>8043419.83743643</v>
      </c>
      <c r="AU14" s="36">
        <f t="shared" si="22"/>
        <v>0.0506234198291782</v>
      </c>
      <c r="AV14" s="36"/>
      <c r="AW14" s="35">
        <f t="shared" si="23"/>
        <v>6866421.86713802</v>
      </c>
      <c r="AX14" s="35">
        <f>AX15+AX16</f>
        <v>637078.456086507</v>
      </c>
      <c r="AY14" s="36">
        <f t="shared" si="24"/>
        <v>0.383775796030114</v>
      </c>
      <c r="AZ14" s="35">
        <f>AZ15+AZ16</f>
        <v>362966.024304102</v>
      </c>
      <c r="BA14" s="36">
        <f t="shared" si="25"/>
        <v>-0.305687562458988</v>
      </c>
      <c r="BB14" s="35">
        <f>BB15+BB16</f>
        <v>619911.021829049</v>
      </c>
      <c r="BC14" s="36">
        <f t="shared" si="26"/>
        <v>-0.00174243510598071</v>
      </c>
      <c r="BD14" s="35">
        <f>BD15+BD16</f>
        <v>634289.322567975</v>
      </c>
      <c r="BE14" s="36">
        <f t="shared" si="27"/>
        <v>0.0621269594861933</v>
      </c>
      <c r="BF14" s="35">
        <f>BF15+BF16</f>
        <v>646572.115173368</v>
      </c>
      <c r="BG14" s="36">
        <f t="shared" si="28"/>
        <v>0.055546729349526</v>
      </c>
      <c r="BH14" s="35">
        <f>BH15+BH16</f>
        <v>600444.149674724</v>
      </c>
      <c r="BI14" s="36">
        <f t="shared" si="29"/>
        <v>-0.0115717502844843</v>
      </c>
      <c r="BJ14" s="35">
        <f>BJ15+BJ16</f>
        <v>638530.516520395</v>
      </c>
      <c r="BK14" s="36">
        <f t="shared" si="30"/>
        <v>0.0281409721840888</v>
      </c>
      <c r="BL14" s="35">
        <f>BL15+BL16</f>
        <v>662583.780488714</v>
      </c>
      <c r="BM14" s="36">
        <f t="shared" si="31"/>
        <v>0.00880724119164245</v>
      </c>
      <c r="BN14" s="35">
        <f>BN15+BN16</f>
        <v>684397.980243042</v>
      </c>
      <c r="BO14" s="36">
        <f t="shared" si="32"/>
        <v>0.00652356053678882</v>
      </c>
      <c r="BP14" s="35">
        <f>BP15+BP16</f>
        <v>684846.505081168</v>
      </c>
      <c r="BQ14" s="36">
        <f t="shared" si="33"/>
        <v>0.0434721250442394</v>
      </c>
      <c r="BR14" s="35">
        <f>BR15+BR16</f>
        <v>694801.995168977</v>
      </c>
      <c r="BS14" s="36">
        <f t="shared" si="34"/>
        <v>0.0310413730585068</v>
      </c>
      <c r="BT14" s="35">
        <f>BT15+BT16</f>
        <v>789432.443385744</v>
      </c>
      <c r="BU14" s="36">
        <f t="shared" si="35"/>
        <v>0.0983601809999055</v>
      </c>
      <c r="BV14" s="35">
        <f t="shared" si="36"/>
        <v>7655854.31052377</v>
      </c>
      <c r="BW14" s="36">
        <f t="shared" si="37"/>
        <v>0.030659160919182</v>
      </c>
      <c r="BX14" s="36"/>
      <c r="BY14" s="41">
        <f>BY15+BY16</f>
        <v>460391.385594551</v>
      </c>
      <c r="BZ14" s="721">
        <f t="shared" si="38"/>
        <v>-0.114317720724118</v>
      </c>
      <c r="CA14" s="41">
        <f>CA15+CA16</f>
        <v>522770.44840157</v>
      </c>
      <c r="CB14" s="721">
        <f t="shared" si="39"/>
        <v>0.450820835374283</v>
      </c>
      <c r="CC14" s="736">
        <f>SUM(CC15:CC16)</f>
        <v>620993.061940745</v>
      </c>
      <c r="CD14" s="721">
        <f t="shared" si="40"/>
        <v>0.178063658309628</v>
      </c>
      <c r="CE14" s="41">
        <v>597187.856783914</v>
      </c>
      <c r="CF14" s="721">
        <f t="shared" si="41"/>
        <v>0.183964937511181</v>
      </c>
      <c r="CG14" s="41">
        <v>612547.125764687</v>
      </c>
      <c r="CH14" s="721">
        <f t="shared" si="42"/>
        <v>0.187676499395492</v>
      </c>
      <c r="CI14" s="41">
        <f>CI15+CI16</f>
        <v>607473.683443933</v>
      </c>
      <c r="CJ14" s="721">
        <f t="shared" si="43"/>
        <v>0.234493325236133</v>
      </c>
      <c r="CK14" s="41">
        <f>CK15+CK16</f>
        <v>621053.468148399</v>
      </c>
      <c r="CL14" s="721">
        <f t="shared" si="44"/>
        <v>0.219987126043875</v>
      </c>
      <c r="CM14" s="41">
        <v>656799.191593871</v>
      </c>
      <c r="CN14" s="721">
        <f t="shared" si="45"/>
        <v>0.261878770667709</v>
      </c>
      <c r="CO14" s="41">
        <f>SUM(CO15:CO16)</f>
        <v>679962.205631874</v>
      </c>
      <c r="CP14" s="721">
        <f t="shared" si="46"/>
        <v>0.143939898013958</v>
      </c>
      <c r="CQ14" s="41">
        <f>SUM(CQ15:CQ16)</f>
        <v>656315.093277775</v>
      </c>
      <c r="CR14" s="721">
        <f t="shared" si="47"/>
        <v>0.119590010284791</v>
      </c>
      <c r="CS14" s="41">
        <f>CS15+CS16</f>
        <v>673883.719241934</v>
      </c>
      <c r="CT14" s="721">
        <f t="shared" si="48"/>
        <v>0.106862209399414</v>
      </c>
      <c r="CU14" s="41">
        <f>CU15+CU16</f>
        <v>718737.311349975</v>
      </c>
      <c r="CV14" s="721">
        <f t="shared" si="49"/>
        <v>0.180534780263799</v>
      </c>
      <c r="CW14" s="41">
        <f t="shared" si="50"/>
        <v>7428114.55117323</v>
      </c>
      <c r="CX14" s="721">
        <f t="shared" si="51"/>
        <v>0.173515570614629</v>
      </c>
      <c r="CY14" s="721"/>
      <c r="CZ14" s="721">
        <f t="shared" si="52"/>
        <v>0.0665598393718396</v>
      </c>
      <c r="DA14" s="721">
        <f t="shared" si="53"/>
        <v>0.0267685843950618</v>
      </c>
      <c r="DB14" s="721"/>
      <c r="DC14" s="721"/>
      <c r="DD14" s="721">
        <f>CW7/CW5</f>
        <v>0.177434472555482</v>
      </c>
      <c r="DE14" s="721"/>
      <c r="DF14" s="721"/>
      <c r="DG14" s="721"/>
      <c r="DH14" s="721"/>
      <c r="DI14" s="721"/>
      <c r="DJ14" s="721"/>
      <c r="DK14" s="721"/>
      <c r="DL14" s="206"/>
      <c r="DM14" s="41">
        <v>519815.509881217</v>
      </c>
      <c r="DN14" s="41">
        <v>360327.364796016</v>
      </c>
      <c r="DO14" s="41">
        <v>527130.310455202</v>
      </c>
      <c r="DP14" s="41">
        <v>504396.572789787</v>
      </c>
      <c r="DQ14" s="41">
        <v>515752.50169256</v>
      </c>
      <c r="DR14" s="41">
        <v>492083.408654912</v>
      </c>
      <c r="DS14" s="41">
        <v>509065.591669255</v>
      </c>
      <c r="DT14" s="41">
        <v>520493.098751739</v>
      </c>
      <c r="DU14" s="41">
        <v>594403.785384516</v>
      </c>
      <c r="DV14" s="41">
        <v>586210.208423374</v>
      </c>
      <c r="DW14" s="41">
        <v>591294.481343296</v>
      </c>
      <c r="DX14" s="41">
        <v>608823.495390257</v>
      </c>
      <c r="DY14" s="721">
        <v>0.0161124044732983</v>
      </c>
      <c r="DZ14" s="41">
        <f t="shared" si="65"/>
        <v>6329796.32923213</v>
      </c>
      <c r="EA14" s="36">
        <f t="shared" si="66"/>
        <v>-0.0522659889004627</v>
      </c>
      <c r="EB14" s="36"/>
      <c r="EC14" s="737">
        <f t="shared" ref="EC14:EN14" si="79">EC15+EC16</f>
        <v>682463.551570996</v>
      </c>
      <c r="ED14" s="737">
        <f t="shared" si="79"/>
        <v>350917.790603341</v>
      </c>
      <c r="EE14" s="737">
        <f t="shared" si="79"/>
        <v>507722.018917142</v>
      </c>
      <c r="EF14" s="737">
        <f t="shared" si="79"/>
        <v>564164.494528167</v>
      </c>
      <c r="EG14" s="737">
        <f t="shared" si="79"/>
        <v>540414.113187904</v>
      </c>
      <c r="EH14" s="737">
        <f t="shared" si="79"/>
        <v>583262.72128622</v>
      </c>
      <c r="EI14" s="737">
        <f t="shared" si="79"/>
        <v>525523.951939922</v>
      </c>
      <c r="EJ14" s="737">
        <f t="shared" si="79"/>
        <v>557543.327802838</v>
      </c>
      <c r="EK14" s="737">
        <f t="shared" si="79"/>
        <v>601815.182591016</v>
      </c>
      <c r="EL14" s="737">
        <f t="shared" si="79"/>
        <v>537800.553304963</v>
      </c>
      <c r="EM14" s="50">
        <f t="shared" si="79"/>
        <v>628077.158386566</v>
      </c>
      <c r="EN14" s="50">
        <f t="shared" si="79"/>
        <v>599169.435103826</v>
      </c>
      <c r="EO14" s="724">
        <f t="shared" si="68"/>
        <v>6678874.2992229</v>
      </c>
      <c r="EP14" s="36"/>
      <c r="EQ14" s="738"/>
    </row>
    <row r="15" s="206" customFormat="1" ht="27" customHeight="1" spans="1:147">
      <c r="A15" s="45"/>
      <c r="B15" s="707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127"/>
      <c r="R15" s="127"/>
      <c r="S15" s="35">
        <f t="shared" si="7"/>
        <v>1440570.2872</v>
      </c>
      <c r="T15" s="36">
        <f t="shared" si="8"/>
        <v>-0.147248993281797</v>
      </c>
      <c r="U15" s="36"/>
      <c r="V15" s="35">
        <v>223768.7881</v>
      </c>
      <c r="W15" s="36">
        <f t="shared" si="9"/>
        <v>0.241982807423669</v>
      </c>
      <c r="X15" s="35">
        <v>215756.59</v>
      </c>
      <c r="Y15" s="36">
        <f t="shared" si="10"/>
        <v>0.667020423479375</v>
      </c>
      <c r="Z15" s="35">
        <v>228032.2554</v>
      </c>
      <c r="AA15" s="36">
        <f t="shared" si="11"/>
        <v>0.43404840848636</v>
      </c>
      <c r="AB15" s="35">
        <v>231348.3936</v>
      </c>
      <c r="AC15" s="36">
        <f t="shared" si="12"/>
        <v>0.331025088711266</v>
      </c>
      <c r="AD15" s="35">
        <v>235218.0959</v>
      </c>
      <c r="AE15" s="36">
        <f t="shared" si="13"/>
        <v>0.354190698919724</v>
      </c>
      <c r="AF15" s="35">
        <v>243540.2501</v>
      </c>
      <c r="AG15" s="36">
        <f t="shared" si="14"/>
        <v>0.359960595670818</v>
      </c>
      <c r="AH15" s="35">
        <v>167430.5182</v>
      </c>
      <c r="AI15" s="36">
        <f t="shared" si="15"/>
        <v>-0.173354522303342</v>
      </c>
      <c r="AJ15" s="35">
        <v>144226.2304</v>
      </c>
      <c r="AK15" s="36">
        <f t="shared" si="16"/>
        <v>-0.298067021017938</v>
      </c>
      <c r="AL15" s="35">
        <v>162619.787</v>
      </c>
      <c r="AM15" s="36">
        <f t="shared" si="17"/>
        <v>-0.210572571415351</v>
      </c>
      <c r="AN15" s="35">
        <v>154248.884</v>
      </c>
      <c r="AO15" s="36">
        <f t="shared" si="18"/>
        <v>-0.243030445993111</v>
      </c>
      <c r="AP15" s="35">
        <v>189963.8819</v>
      </c>
      <c r="AQ15" s="36">
        <f t="shared" si="19"/>
        <v>-0.140526273530569</v>
      </c>
      <c r="AR15" s="35">
        <v>228375.0976</v>
      </c>
      <c r="AS15" s="36">
        <f t="shared" si="20"/>
        <v>-0.223583651516181</v>
      </c>
      <c r="AT15" s="35">
        <f t="shared" si="21"/>
        <v>2424528.7722</v>
      </c>
      <c r="AU15" s="36">
        <f t="shared" si="22"/>
        <v>0.0414007505317799</v>
      </c>
      <c r="AV15" s="36"/>
      <c r="AW15" s="35">
        <f t="shared" si="23"/>
        <v>2034001.9574</v>
      </c>
      <c r="AX15" s="35">
        <v>180170.6004</v>
      </c>
      <c r="AY15" s="36">
        <f t="shared" si="24"/>
        <v>1.19568584352533</v>
      </c>
      <c r="AZ15" s="35">
        <v>129426.4827</v>
      </c>
      <c r="BA15" s="36">
        <f t="shared" si="25"/>
        <v>0.541769564832535</v>
      </c>
      <c r="BB15" s="35">
        <v>159012.9413</v>
      </c>
      <c r="BC15" s="36">
        <f t="shared" si="26"/>
        <v>0.665842633702189</v>
      </c>
      <c r="BD15" s="35">
        <v>173812.196</v>
      </c>
      <c r="BE15" s="36">
        <f t="shared" si="27"/>
        <v>0.693679171553006</v>
      </c>
      <c r="BF15" s="35">
        <v>173696.4344</v>
      </c>
      <c r="BG15" s="36">
        <f t="shared" si="28"/>
        <v>0.579365370980183</v>
      </c>
      <c r="BH15" s="35">
        <v>179078.9019</v>
      </c>
      <c r="BI15" s="36">
        <f t="shared" si="29"/>
        <v>0.492671068061185</v>
      </c>
      <c r="BJ15" s="35">
        <v>202542.1087</v>
      </c>
      <c r="BK15" s="36">
        <f t="shared" si="30"/>
        <v>0.542624799310918</v>
      </c>
      <c r="BL15" s="35">
        <v>205470.0872</v>
      </c>
      <c r="BM15" s="36">
        <f t="shared" si="31"/>
        <v>0.521088154156104</v>
      </c>
      <c r="BN15" s="35">
        <v>205997.133</v>
      </c>
      <c r="BO15" s="36">
        <f t="shared" si="32"/>
        <v>0.503585757059414</v>
      </c>
      <c r="BP15" s="35">
        <v>203771.5826</v>
      </c>
      <c r="BQ15" s="36">
        <f t="shared" si="33"/>
        <v>0.451504621730551</v>
      </c>
      <c r="BR15" s="35">
        <v>221023.4892</v>
      </c>
      <c r="BS15" s="36">
        <f t="shared" si="34"/>
        <v>0.516720958751574</v>
      </c>
      <c r="BT15" s="35">
        <v>294139.9908</v>
      </c>
      <c r="BU15" s="36">
        <f t="shared" si="35"/>
        <v>0.891322780243571</v>
      </c>
      <c r="BV15" s="35">
        <f t="shared" si="36"/>
        <v>2328141.9482</v>
      </c>
      <c r="BW15" s="36">
        <f t="shared" si="37"/>
        <v>0.617836118316095</v>
      </c>
      <c r="BX15" s="36"/>
      <c r="BY15" s="41">
        <v>82056.6389</v>
      </c>
      <c r="BZ15" s="721">
        <f t="shared" si="38"/>
        <v>1.59145031941565</v>
      </c>
      <c r="CA15" s="41">
        <v>83946.7101</v>
      </c>
      <c r="CB15" s="721">
        <f t="shared" si="39"/>
        <v>1.88913474398706</v>
      </c>
      <c r="CC15" s="41">
        <v>95454.9596</v>
      </c>
      <c r="CD15" s="721">
        <f t="shared" si="40"/>
        <v>2.00151836235881</v>
      </c>
      <c r="CE15" s="41">
        <v>102624.0382</v>
      </c>
      <c r="CF15" s="721">
        <f t="shared" si="41"/>
        <v>2.88247211507676</v>
      </c>
      <c r="CG15" s="41">
        <v>109978.6266</v>
      </c>
      <c r="CH15" s="721">
        <f t="shared" si="42"/>
        <v>2.85598777288103</v>
      </c>
      <c r="CI15" s="702">
        <v>119972.1129</v>
      </c>
      <c r="CJ15" s="721">
        <f t="shared" si="43"/>
        <v>3.13815090950743</v>
      </c>
      <c r="CK15" s="702">
        <v>131297.0651</v>
      </c>
      <c r="CL15" s="721">
        <f t="shared" si="44"/>
        <v>3.37577406482327</v>
      </c>
      <c r="CM15" s="41">
        <v>135080.9857</v>
      </c>
      <c r="CN15" s="721">
        <f t="shared" si="45"/>
        <v>3.7443238072762</v>
      </c>
      <c r="CO15" s="41">
        <v>137003.9135</v>
      </c>
      <c r="CP15" s="721">
        <f t="shared" si="46"/>
        <v>3.86185259490545</v>
      </c>
      <c r="CQ15" s="41">
        <v>140386.4511</v>
      </c>
      <c r="CR15" s="721">
        <f t="shared" si="47"/>
        <v>4.01999949845222</v>
      </c>
      <c r="CS15" s="41">
        <v>145724.5566</v>
      </c>
      <c r="CT15" s="721">
        <f t="shared" si="48"/>
        <v>3.71898323507979</v>
      </c>
      <c r="CU15" s="41">
        <v>155520.7783</v>
      </c>
      <c r="CV15" s="721">
        <f t="shared" si="49"/>
        <v>4.03621326856219</v>
      </c>
      <c r="CW15" s="41">
        <f t="shared" si="50"/>
        <v>1439046.8366</v>
      </c>
      <c r="CX15" s="721">
        <f t="shared" si="51"/>
        <v>3.15210212507388</v>
      </c>
      <c r="CY15" s="721"/>
      <c r="CZ15" s="721">
        <f t="shared" si="52"/>
        <v>0.067224234051984</v>
      </c>
      <c r="DA15" s="721">
        <f t="shared" si="53"/>
        <v>0.0380243638768072</v>
      </c>
      <c r="DB15" s="721"/>
      <c r="DC15" s="721"/>
      <c r="DD15" s="721">
        <f>CW8/CW6</f>
        <v>0.209301797373483</v>
      </c>
      <c r="DE15" s="721"/>
      <c r="DF15" s="721"/>
      <c r="DG15" s="721"/>
      <c r="DH15" s="721"/>
      <c r="DI15" s="721"/>
      <c r="DJ15" s="721"/>
      <c r="DK15" s="721"/>
      <c r="DL15" s="206"/>
      <c r="DM15" s="41">
        <v>31664.3689</v>
      </c>
      <c r="DN15" s="41">
        <v>29056.0038</v>
      </c>
      <c r="DO15" s="41">
        <v>31802.2241</v>
      </c>
      <c r="DP15" s="41">
        <v>26432.653</v>
      </c>
      <c r="DQ15" s="41">
        <v>28521.5185</v>
      </c>
      <c r="DR15" s="41">
        <v>28991.7201</v>
      </c>
      <c r="DS15" s="41">
        <v>30005.4489</v>
      </c>
      <c r="DT15" s="41">
        <v>28472.1261</v>
      </c>
      <c r="DU15" s="41">
        <v>28179.3639</v>
      </c>
      <c r="DV15" s="41">
        <v>27965.4313</v>
      </c>
      <c r="DW15" s="41">
        <v>24611.3597</v>
      </c>
      <c r="DX15" s="41">
        <v>30880.4989</v>
      </c>
      <c r="DY15" s="721">
        <v>-0.0895901546143402</v>
      </c>
      <c r="DZ15" s="41">
        <f t="shared" si="65"/>
        <v>346582.7172</v>
      </c>
      <c r="EA15" s="36">
        <f t="shared" si="66"/>
        <v>-0.159314834353142</v>
      </c>
      <c r="EB15" s="36"/>
      <c r="EC15" s="50">
        <v>43194.1216</v>
      </c>
      <c r="ED15" s="50">
        <v>28235.5302</v>
      </c>
      <c r="EE15" s="50">
        <v>37322.58674</v>
      </c>
      <c r="EF15" s="50">
        <v>35839.14931</v>
      </c>
      <c r="EG15" s="50">
        <v>34720.0172</v>
      </c>
      <c r="EH15" s="50">
        <v>34634.9805</v>
      </c>
      <c r="EI15" s="50">
        <v>33474.0041</v>
      </c>
      <c r="EJ15" s="50">
        <v>31149.2318</v>
      </c>
      <c r="EK15" s="50">
        <v>32160.2299</v>
      </c>
      <c r="EL15" s="50">
        <v>32968.4788</v>
      </c>
      <c r="EM15" s="50">
        <v>34644.5338</v>
      </c>
      <c r="EN15" s="50">
        <v>33919.3376</v>
      </c>
      <c r="EO15" s="724">
        <f t="shared" si="68"/>
        <v>412262.20155</v>
      </c>
      <c r="EP15" s="36"/>
    </row>
    <row r="16" s="206" customFormat="1" ht="27" customHeight="1" spans="1:147">
      <c r="A16" s="29"/>
      <c r="B16" s="707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127"/>
      <c r="R16" s="127"/>
      <c r="S16" s="35">
        <f t="shared" si="7"/>
        <v>3154959.2651622</v>
      </c>
      <c r="T16" s="36">
        <f t="shared" si="8"/>
        <v>-0.13090631306425</v>
      </c>
      <c r="U16" s="36"/>
      <c r="V16" s="35">
        <v>393031.414856188</v>
      </c>
      <c r="W16" s="36">
        <f t="shared" si="9"/>
        <v>-0.139801581512194</v>
      </c>
      <c r="X16" s="35">
        <v>342631.598923585</v>
      </c>
      <c r="Y16" s="36">
        <f t="shared" si="10"/>
        <v>0.46712456730097</v>
      </c>
      <c r="Z16" s="35">
        <v>477427.622865622</v>
      </c>
      <c r="AA16" s="36">
        <f t="shared" si="11"/>
        <v>0.0358637690953265</v>
      </c>
      <c r="AB16" s="35">
        <v>484338.431839217</v>
      </c>
      <c r="AC16" s="36">
        <f t="shared" si="12"/>
        <v>0.0518186548137254</v>
      </c>
      <c r="AD16" s="35">
        <v>488220.303897424</v>
      </c>
      <c r="AE16" s="36">
        <f t="shared" si="13"/>
        <v>0.032449592457283</v>
      </c>
      <c r="AF16" s="35">
        <v>434173.422710674</v>
      </c>
      <c r="AG16" s="36">
        <f t="shared" si="14"/>
        <v>0.0303968469245894</v>
      </c>
      <c r="AH16" s="35">
        <v>495075.481746196</v>
      </c>
      <c r="AI16" s="36">
        <f t="shared" si="15"/>
        <v>0.135524415021011</v>
      </c>
      <c r="AJ16" s="35">
        <v>515273.375064298</v>
      </c>
      <c r="AK16" s="36">
        <f t="shared" si="16"/>
        <v>0.12723242079482</v>
      </c>
      <c r="AL16" s="35">
        <v>529763.847176939</v>
      </c>
      <c r="AM16" s="36">
        <f t="shared" si="17"/>
        <v>0.107363940155823</v>
      </c>
      <c r="AN16" s="35">
        <v>489544.506952201</v>
      </c>
      <c r="AO16" s="36">
        <f t="shared" si="18"/>
        <v>0.0176055414141121</v>
      </c>
      <c r="AP16" s="35">
        <v>476161.559209964</v>
      </c>
      <c r="AQ16" s="36">
        <f t="shared" si="19"/>
        <v>0.00502988888470823</v>
      </c>
      <c r="AR16" s="35">
        <v>493249.499994126</v>
      </c>
      <c r="AS16" s="36">
        <f t="shared" si="20"/>
        <v>-0.00412474000149299</v>
      </c>
      <c r="AT16" s="35">
        <f t="shared" si="21"/>
        <v>5618891.06523643</v>
      </c>
      <c r="AU16" s="36">
        <f t="shared" si="22"/>
        <v>0.0546536079860114</v>
      </c>
      <c r="AV16" s="36"/>
      <c r="AW16" s="35">
        <f t="shared" si="23"/>
        <v>4832419.90973802</v>
      </c>
      <c r="AX16" s="35">
        <v>456907.855686507</v>
      </c>
      <c r="AY16" s="36">
        <f t="shared" si="24"/>
        <v>0.207681450563123</v>
      </c>
      <c r="AZ16" s="35">
        <v>233539.541604102</v>
      </c>
      <c r="BA16" s="36">
        <f t="shared" si="25"/>
        <v>-0.46780558748258</v>
      </c>
      <c r="BB16" s="35">
        <v>460898.080529049</v>
      </c>
      <c r="BC16" s="36">
        <f t="shared" si="26"/>
        <v>-0.1229977836503</v>
      </c>
      <c r="BD16" s="35">
        <v>460477.126567975</v>
      </c>
      <c r="BE16" s="36">
        <f t="shared" si="27"/>
        <v>-0.0689227370363233</v>
      </c>
      <c r="BF16" s="35">
        <v>472875.680773368</v>
      </c>
      <c r="BG16" s="36">
        <f t="shared" si="28"/>
        <v>-0.0590821319694153</v>
      </c>
      <c r="BH16" s="35">
        <v>421365.247774724</v>
      </c>
      <c r="BI16" s="36">
        <f t="shared" si="29"/>
        <v>-0.135663814775852</v>
      </c>
      <c r="BJ16" s="35">
        <v>435988.407820395</v>
      </c>
      <c r="BK16" s="36">
        <f t="shared" si="30"/>
        <v>-0.109785180741558</v>
      </c>
      <c r="BL16" s="35">
        <v>457113.693288714</v>
      </c>
      <c r="BM16" s="36">
        <f t="shared" si="31"/>
        <v>-0.123830282085841</v>
      </c>
      <c r="BN16" s="35">
        <v>478400.847243042</v>
      </c>
      <c r="BO16" s="36">
        <f t="shared" si="32"/>
        <v>-0.118899454754348</v>
      </c>
      <c r="BP16" s="35">
        <v>481074.922481168</v>
      </c>
      <c r="BQ16" s="36">
        <f t="shared" si="33"/>
        <v>-0.0675553106520442</v>
      </c>
      <c r="BR16" s="35">
        <v>473778.505968977</v>
      </c>
      <c r="BS16" s="36">
        <f t="shared" si="34"/>
        <v>-0.1029626304331</v>
      </c>
      <c r="BT16" s="35">
        <v>495292.452585744</v>
      </c>
      <c r="BU16" s="36">
        <f t="shared" si="35"/>
        <v>-0.120600295762632</v>
      </c>
      <c r="BV16" s="35">
        <f t="shared" si="36"/>
        <v>5327712.36232376</v>
      </c>
      <c r="BW16" s="36">
        <f t="shared" si="37"/>
        <v>-0.110427095462652</v>
      </c>
      <c r="BX16" s="36"/>
      <c r="BY16" s="41">
        <v>378334.746694551</v>
      </c>
      <c r="BZ16" s="721">
        <f t="shared" si="38"/>
        <v>-0.224963920120985</v>
      </c>
      <c r="CA16" s="41">
        <v>438823.73830157</v>
      </c>
      <c r="CB16" s="721">
        <f t="shared" si="39"/>
        <v>0.324665485667647</v>
      </c>
      <c r="CC16" s="41">
        <v>525538.102340745</v>
      </c>
      <c r="CD16" s="721">
        <f t="shared" si="40"/>
        <v>0.0609899111674423</v>
      </c>
      <c r="CE16" s="41">
        <v>494563.818583914</v>
      </c>
      <c r="CF16" s="721">
        <f t="shared" si="41"/>
        <v>0.0347304432548545</v>
      </c>
      <c r="CG16" s="41">
        <v>502568.499164687</v>
      </c>
      <c r="CH16" s="721">
        <f t="shared" si="42"/>
        <v>0.0314789422290607</v>
      </c>
      <c r="CI16" s="739">
        <v>487501.570543933</v>
      </c>
      <c r="CJ16" s="721">
        <f t="shared" si="43"/>
        <v>0.0527106890326463</v>
      </c>
      <c r="CK16" s="702">
        <v>489756.403048399</v>
      </c>
      <c r="CL16" s="721">
        <f t="shared" si="44"/>
        <v>0.0223275938117358</v>
      </c>
      <c r="CM16" s="41">
        <v>521718.205893871</v>
      </c>
      <c r="CN16" s="721">
        <f t="shared" si="45"/>
        <v>0.0603576572805002</v>
      </c>
      <c r="CO16" s="41">
        <v>542958.292131874</v>
      </c>
      <c r="CP16" s="721">
        <f t="shared" si="46"/>
        <v>-0.0410899432625024</v>
      </c>
      <c r="CQ16" s="41">
        <v>515928.642177775</v>
      </c>
      <c r="CR16" s="721">
        <f t="shared" si="47"/>
        <v>-0.0758021152721812</v>
      </c>
      <c r="CS16" s="41">
        <v>528159.162641934</v>
      </c>
      <c r="CT16" s="721">
        <f t="shared" si="48"/>
        <v>-0.0861396956977611</v>
      </c>
      <c r="CU16" s="41">
        <v>563216.533049975</v>
      </c>
      <c r="CV16" s="721">
        <f t="shared" si="49"/>
        <v>-0.0254808234198062</v>
      </c>
      <c r="CW16" s="41">
        <f t="shared" si="50"/>
        <v>5989067.71457323</v>
      </c>
      <c r="CX16" s="721">
        <f t="shared" si="51"/>
        <v>0.000978421116258676</v>
      </c>
      <c r="CY16" s="721"/>
      <c r="CZ16" s="721">
        <f t="shared" si="52"/>
        <v>0.0663765260318094</v>
      </c>
      <c r="DA16" s="721">
        <f t="shared" si="53"/>
        <v>0.0237058373276837</v>
      </c>
      <c r="DB16" s="721"/>
      <c r="DC16" s="721"/>
      <c r="DD16" s="721"/>
      <c r="DE16" s="721"/>
      <c r="DF16" s="721"/>
      <c r="DG16" s="721"/>
      <c r="DH16" s="721"/>
      <c r="DI16" s="721"/>
      <c r="DJ16" s="721"/>
      <c r="DK16" s="721"/>
      <c r="DL16" s="21"/>
      <c r="DM16" s="727">
        <v>488151.140981217</v>
      </c>
      <c r="DN16" s="727">
        <v>331271.360996016</v>
      </c>
      <c r="DO16" s="727">
        <v>495328.086355202</v>
      </c>
      <c r="DP16" s="727">
        <v>477963.919789787</v>
      </c>
      <c r="DQ16" s="727">
        <v>487230.98319256</v>
      </c>
      <c r="DR16" s="727">
        <v>463091.688554912</v>
      </c>
      <c r="DS16" s="727">
        <v>479060.142769255</v>
      </c>
      <c r="DT16" s="727">
        <v>492020.972651739</v>
      </c>
      <c r="DU16" s="727">
        <v>566224.421484516</v>
      </c>
      <c r="DV16" s="727">
        <v>558244.777123374</v>
      </c>
      <c r="DW16" s="727">
        <v>566683.121643296</v>
      </c>
      <c r="DX16" s="727">
        <v>577942.996490257</v>
      </c>
      <c r="DY16" s="721">
        <v>0.0224553680618242</v>
      </c>
      <c r="DZ16" s="41">
        <f t="shared" si="65"/>
        <v>5983213.61203213</v>
      </c>
      <c r="EA16" s="36">
        <f t="shared" si="66"/>
        <v>-0.045223556400756</v>
      </c>
      <c r="EB16" s="36"/>
      <c r="EC16" s="50">
        <v>639269.429970996</v>
      </c>
      <c r="ED16" s="50">
        <v>322682.260403341</v>
      </c>
      <c r="EE16" s="50">
        <v>470399.432177142</v>
      </c>
      <c r="EF16" s="50">
        <v>528325.345218167</v>
      </c>
      <c r="EG16" s="50">
        <v>505694.095987904</v>
      </c>
      <c r="EH16" s="50">
        <v>548627.74078622</v>
      </c>
      <c r="EI16" s="50">
        <v>492049.947839922</v>
      </c>
      <c r="EJ16" s="50">
        <v>526394.096002838</v>
      </c>
      <c r="EK16" s="50">
        <v>569654.952691016</v>
      </c>
      <c r="EL16" s="50">
        <v>504832.074504963</v>
      </c>
      <c r="EM16" s="50">
        <v>593432.624586566</v>
      </c>
      <c r="EN16" s="50">
        <v>565250.097503826</v>
      </c>
      <c r="EO16" s="724">
        <f t="shared" si="68"/>
        <v>6266612.0976729</v>
      </c>
      <c r="EP16" s="36"/>
      <c r="EQ16" s="740">
        <f>SUM(EC16:EN16)</f>
        <v>6266612.0976729</v>
      </c>
    </row>
    <row r="17" s="206" customFormat="1" ht="27" customHeight="1" spans="1:147">
      <c r="A17" s="707" t="s">
        <v>94</v>
      </c>
      <c r="B17" s="707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127"/>
      <c r="R17" s="127"/>
      <c r="S17" s="35">
        <f t="shared" si="7"/>
        <v>3963.18648790362</v>
      </c>
      <c r="T17" s="36">
        <f t="shared" si="8"/>
        <v>-0.125046085776985</v>
      </c>
      <c r="U17" s="36"/>
      <c r="V17" s="35">
        <v>480.632893800929</v>
      </c>
      <c r="W17" s="36">
        <f t="shared" si="9"/>
        <v>-0.0848822571463809</v>
      </c>
      <c r="X17" s="35">
        <v>488.303945946766</v>
      </c>
      <c r="Y17" s="36">
        <f t="shared" si="10"/>
        <v>0.503805873583858</v>
      </c>
      <c r="Z17" s="35">
        <v>583.013000928567</v>
      </c>
      <c r="AA17" s="36">
        <f t="shared" si="11"/>
        <v>0.108562426553285</v>
      </c>
      <c r="AB17" s="35">
        <v>641.16170872911</v>
      </c>
      <c r="AC17" s="36">
        <f t="shared" si="12"/>
        <v>0.0611142568471654</v>
      </c>
      <c r="AD17" s="35">
        <v>629.537236810118</v>
      </c>
      <c r="AE17" s="36">
        <f t="shared" si="13"/>
        <v>0.0258538082620263</v>
      </c>
      <c r="AF17" s="35">
        <v>576.763121800236</v>
      </c>
      <c r="AG17" s="36">
        <f t="shared" si="14"/>
        <v>0.0424226802159173</v>
      </c>
      <c r="AH17" s="35">
        <v>558.216011563372</v>
      </c>
      <c r="AI17" s="36">
        <f t="shared" si="15"/>
        <v>0.0190928589319346</v>
      </c>
      <c r="AJ17" s="35">
        <v>571.966637893166</v>
      </c>
      <c r="AK17" s="36">
        <f t="shared" si="16"/>
        <v>-0.0058807279644385</v>
      </c>
      <c r="AL17" s="35">
        <v>580.20960356184</v>
      </c>
      <c r="AM17" s="36">
        <f t="shared" si="17"/>
        <v>0.0300081100189931</v>
      </c>
      <c r="AN17" s="35">
        <v>557.143534730297</v>
      </c>
      <c r="AO17" s="36">
        <f t="shared" si="18"/>
        <v>-0.00131545394149724</v>
      </c>
      <c r="AP17" s="35">
        <v>582.431204756063</v>
      </c>
      <c r="AQ17" s="36">
        <f t="shared" si="19"/>
        <v>0.0313328420808778</v>
      </c>
      <c r="AR17" s="35">
        <v>592.654852053529</v>
      </c>
      <c r="AS17" s="36">
        <f t="shared" si="20"/>
        <v>-0.019090684870271</v>
      </c>
      <c r="AT17" s="35">
        <f t="shared" si="21"/>
        <v>6842.03375257399</v>
      </c>
      <c r="AU17" s="36">
        <f t="shared" si="22"/>
        <v>0.0429519185251994</v>
      </c>
      <c r="AV17" s="36"/>
      <c r="AW17" s="35">
        <f t="shared" si="23"/>
        <v>5956.06884352852</v>
      </c>
      <c r="AX17" s="35">
        <v>525.214266201601</v>
      </c>
      <c r="AY17" s="36">
        <f t="shared" si="24"/>
        <v>0.753635066645852</v>
      </c>
      <c r="AZ17" s="35">
        <v>324.712088524461</v>
      </c>
      <c r="BA17" s="36">
        <f t="shared" si="25"/>
        <v>-0.254552760081379</v>
      </c>
      <c r="BB17" s="35">
        <v>525.918060150439</v>
      </c>
      <c r="BC17" s="36">
        <f t="shared" si="26"/>
        <v>0.0428378609968194</v>
      </c>
      <c r="BD17" s="35">
        <v>604.234374000554</v>
      </c>
      <c r="BE17" s="36">
        <f t="shared" si="27"/>
        <v>0.122381513899972</v>
      </c>
      <c r="BF17" s="35">
        <v>613.671491727133</v>
      </c>
      <c r="BG17" s="36">
        <f t="shared" si="28"/>
        <v>0.110576312948808</v>
      </c>
      <c r="BH17" s="35">
        <v>553.291033231137</v>
      </c>
      <c r="BI17" s="36">
        <f t="shared" si="29"/>
        <v>0.0141475729887202</v>
      </c>
      <c r="BJ17" s="35">
        <v>547.757750111617</v>
      </c>
      <c r="BK17" s="36">
        <f t="shared" si="30"/>
        <v>0.0414107611151784</v>
      </c>
      <c r="BL17" s="35">
        <v>575.350115406178</v>
      </c>
      <c r="BM17" s="36">
        <f t="shared" si="31"/>
        <v>0.019036062270676</v>
      </c>
      <c r="BN17" s="35">
        <v>563.305859359827</v>
      </c>
      <c r="BO17" s="36">
        <f t="shared" si="32"/>
        <v>0.0578224004687344</v>
      </c>
      <c r="BP17" s="35">
        <v>557.877396750725</v>
      </c>
      <c r="BQ17" s="36">
        <f t="shared" si="33"/>
        <v>0.035223236201571</v>
      </c>
      <c r="BR17" s="35">
        <v>564.736408064845</v>
      </c>
      <c r="BS17" s="36">
        <f t="shared" si="34"/>
        <v>0.0248711613473196</v>
      </c>
      <c r="BT17" s="35">
        <v>604.189238405946</v>
      </c>
      <c r="BU17" s="36">
        <f t="shared" si="35"/>
        <v>0.111686524371853</v>
      </c>
      <c r="BV17" s="35">
        <f t="shared" si="36"/>
        <v>6560.25808193446</v>
      </c>
      <c r="BW17" s="36">
        <f t="shared" si="37"/>
        <v>0.0697681463164475</v>
      </c>
      <c r="BX17" s="36"/>
      <c r="BY17" s="41">
        <v>299.500321470059</v>
      </c>
      <c r="BZ17" s="721">
        <f t="shared" si="38"/>
        <v>-0.181340045931337</v>
      </c>
      <c r="CA17" s="41">
        <v>435.593655910389</v>
      </c>
      <c r="CB17" s="721">
        <f t="shared" si="39"/>
        <v>0.313255427041041</v>
      </c>
      <c r="CC17" s="41">
        <v>504.314313682214</v>
      </c>
      <c r="CD17" s="721">
        <f t="shared" si="40"/>
        <v>0.0712963569914482</v>
      </c>
      <c r="CE17" s="41">
        <v>538.350254808637</v>
      </c>
      <c r="CF17" s="721">
        <f t="shared" si="41"/>
        <v>0.215648211595435</v>
      </c>
      <c r="CG17" s="41">
        <v>552.570304779605</v>
      </c>
      <c r="CH17" s="721">
        <f t="shared" si="42"/>
        <v>0.187575536208807</v>
      </c>
      <c r="CI17" s="41">
        <v>545.572506376536</v>
      </c>
      <c r="CJ17" s="721">
        <f t="shared" si="43"/>
        <v>0.263428366036946</v>
      </c>
      <c r="CK17" s="702">
        <v>525.976656439635</v>
      </c>
      <c r="CL17" s="721">
        <f t="shared" si="44"/>
        <v>0.179242189570616</v>
      </c>
      <c r="CM17" s="41">
        <v>564.602310662244</v>
      </c>
      <c r="CN17" s="721">
        <f t="shared" si="45"/>
        <v>0.179392440705505</v>
      </c>
      <c r="CO17" s="41">
        <v>532.514587619074</v>
      </c>
      <c r="CP17" s="721">
        <f t="shared" si="46"/>
        <v>0.0888348788581355</v>
      </c>
      <c r="CQ17" s="41">
        <v>538.895744648934</v>
      </c>
      <c r="CR17" s="721">
        <f t="shared" si="47"/>
        <v>0.134555271362381</v>
      </c>
      <c r="CS17" s="41">
        <v>551.031611936889</v>
      </c>
      <c r="CT17" s="721">
        <f t="shared" si="48"/>
        <v>0.130601394710619</v>
      </c>
      <c r="CU17" s="41">
        <v>543.488856939538</v>
      </c>
      <c r="CV17" s="721">
        <f t="shared" si="49"/>
        <v>0.115125242099356</v>
      </c>
      <c r="CW17" s="41">
        <f t="shared" si="50"/>
        <v>6132.41112527375</v>
      </c>
      <c r="CX17" s="721">
        <f t="shared" si="51"/>
        <v>0.139604369321864</v>
      </c>
      <c r="CY17" s="721"/>
      <c r="CZ17" s="721">
        <f t="shared" si="52"/>
        <v>-0.0136884251900505</v>
      </c>
      <c r="DA17" s="721">
        <f t="shared" si="53"/>
        <v>0.0225198796027994</v>
      </c>
      <c r="DB17" s="721"/>
      <c r="DC17" s="721"/>
      <c r="DD17" s="721"/>
      <c r="DE17" s="721"/>
      <c r="DF17" s="721"/>
      <c r="DG17" s="721"/>
      <c r="DH17" s="721"/>
      <c r="DI17" s="721"/>
      <c r="DJ17" s="721"/>
      <c r="DK17" s="721"/>
      <c r="DL17" s="133"/>
      <c r="DM17" s="731">
        <v>365.842154586371</v>
      </c>
      <c r="DN17" s="731">
        <v>331.689972065713</v>
      </c>
      <c r="DO17" s="731">
        <v>470.751450232216</v>
      </c>
      <c r="DP17" s="731">
        <v>442.850365486984</v>
      </c>
      <c r="DQ17" s="731">
        <v>465.292764907923</v>
      </c>
      <c r="DR17" s="731">
        <v>431.819105097235</v>
      </c>
      <c r="DS17" s="731">
        <v>446.029374704744</v>
      </c>
      <c r="DT17" s="731">
        <v>478.723019730822</v>
      </c>
      <c r="DU17" s="731">
        <v>489.068267336847</v>
      </c>
      <c r="DV17" s="731">
        <v>474.984126601276</v>
      </c>
      <c r="DW17" s="731">
        <v>496.74570333291</v>
      </c>
      <c r="DX17" s="731">
        <v>487.379207663128</v>
      </c>
      <c r="DY17" s="721">
        <v>-0.063625183455107</v>
      </c>
      <c r="DZ17" s="41">
        <f t="shared" si="65"/>
        <v>5381.17551174617</v>
      </c>
      <c r="EA17" s="36">
        <f t="shared" si="66"/>
        <v>-0.104569083696178</v>
      </c>
      <c r="EB17" s="734"/>
      <c r="EC17" s="50">
        <v>509.037830548022</v>
      </c>
      <c r="ED17" s="50">
        <v>283.563328091386</v>
      </c>
      <c r="EE17" s="50">
        <v>467.804069341918</v>
      </c>
      <c r="EF17" s="50">
        <v>518.026363547207</v>
      </c>
      <c r="EG17" s="50">
        <v>533.240366936193</v>
      </c>
      <c r="EH17" s="50">
        <v>581.702380760757</v>
      </c>
      <c r="EI17" s="50">
        <v>525.403548468008</v>
      </c>
      <c r="EJ17" s="50">
        <v>533.481657497139</v>
      </c>
      <c r="EK17" s="50">
        <v>516.573709398134</v>
      </c>
      <c r="EL17" s="50">
        <v>489.230750032546</v>
      </c>
      <c r="EM17" s="50">
        <v>531.033305755554</v>
      </c>
      <c r="EN17" s="50">
        <v>520.495851716193</v>
      </c>
      <c r="EO17" s="724">
        <f t="shared" si="68"/>
        <v>6009.59316209306</v>
      </c>
      <c r="EP17" s="36"/>
      <c r="EQ17" s="740">
        <f>SUM(EC17:EN17)</f>
        <v>6009.59316209306</v>
      </c>
    </row>
    <row r="18" s="206" customFormat="1" ht="27" customHeight="1" spans="1:147">
      <c r="A18" s="45"/>
      <c r="B18" s="707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127"/>
      <c r="R18" s="127"/>
      <c r="S18" s="35">
        <f t="shared" si="7"/>
        <v>1010.0515</v>
      </c>
      <c r="T18" s="36">
        <f t="shared" si="8"/>
        <v>-0.430161278138372</v>
      </c>
      <c r="U18" s="36"/>
      <c r="V18" s="35">
        <v>215.0814</v>
      </c>
      <c r="W18" s="36">
        <f t="shared" si="9"/>
        <v>0.0778791157519771</v>
      </c>
      <c r="X18" s="35">
        <v>233.5007</v>
      </c>
      <c r="Y18" s="36">
        <f t="shared" si="10"/>
        <v>0.268288006431043</v>
      </c>
      <c r="Z18" s="35">
        <v>234.7088</v>
      </c>
      <c r="AA18" s="36">
        <f t="shared" si="11"/>
        <v>0.0979491060961726</v>
      </c>
      <c r="AB18" s="35">
        <v>244.3226</v>
      </c>
      <c r="AC18" s="36">
        <f t="shared" si="12"/>
        <v>0.0152999823803777</v>
      </c>
      <c r="AD18" s="35">
        <v>224.6981</v>
      </c>
      <c r="AE18" s="36">
        <f t="shared" si="13"/>
        <v>-0.0739013974851285</v>
      </c>
      <c r="AF18" s="35">
        <v>222.9137</v>
      </c>
      <c r="AG18" s="36">
        <f t="shared" si="14"/>
        <v>-0.0411588146027398</v>
      </c>
      <c r="AH18" s="35">
        <v>197.0272</v>
      </c>
      <c r="AI18" s="36">
        <f t="shared" si="15"/>
        <v>-0.13779465191405</v>
      </c>
      <c r="AJ18" s="35">
        <v>200.2692</v>
      </c>
      <c r="AK18" s="36">
        <f t="shared" si="16"/>
        <v>-0.170656520313137</v>
      </c>
      <c r="AL18" s="35">
        <v>237.2793</v>
      </c>
      <c r="AM18" s="36">
        <f t="shared" si="17"/>
        <v>0.00465535155843133</v>
      </c>
      <c r="AN18" s="35">
        <v>226.4434</v>
      </c>
      <c r="AO18" s="36">
        <f t="shared" si="18"/>
        <v>0.0275917213037384</v>
      </c>
      <c r="AP18" s="35">
        <v>232.4916</v>
      </c>
      <c r="AQ18" s="36">
        <f t="shared" si="19"/>
        <v>0.114494609965524</v>
      </c>
      <c r="AR18" s="35">
        <v>247.7827</v>
      </c>
      <c r="AS18" s="36">
        <f t="shared" si="20"/>
        <v>0.0529959997807168</v>
      </c>
      <c r="AT18" s="35">
        <f t="shared" si="21"/>
        <v>2716.5187</v>
      </c>
      <c r="AU18" s="36">
        <f t="shared" si="22"/>
        <v>0.0122563218819542</v>
      </c>
      <c r="AV18" s="36"/>
      <c r="AW18" s="35">
        <f t="shared" si="23"/>
        <v>2448.3152</v>
      </c>
      <c r="AX18" s="35">
        <v>199.5413</v>
      </c>
      <c r="AY18" s="36">
        <f t="shared" si="24"/>
        <v>1.18962387962743</v>
      </c>
      <c r="AZ18" s="35">
        <v>184.107</v>
      </c>
      <c r="BA18" s="36">
        <f t="shared" si="25"/>
        <v>0.816507189779798</v>
      </c>
      <c r="BB18" s="35">
        <v>213.7702</v>
      </c>
      <c r="BC18" s="36">
        <f t="shared" si="26"/>
        <v>0.980921933567778</v>
      </c>
      <c r="BD18" s="35">
        <v>240.6408</v>
      </c>
      <c r="BE18" s="36">
        <f t="shared" si="27"/>
        <v>0.0427227174483884</v>
      </c>
      <c r="BF18" s="35">
        <v>242.6287</v>
      </c>
      <c r="BG18" s="36">
        <f t="shared" si="28"/>
        <v>-0.105011490352162</v>
      </c>
      <c r="BH18" s="35">
        <v>232.4824</v>
      </c>
      <c r="BI18" s="36">
        <f t="shared" si="29"/>
        <v>-0.198881312431684</v>
      </c>
      <c r="BJ18" s="35">
        <v>228.5154</v>
      </c>
      <c r="BK18" s="36">
        <f t="shared" si="30"/>
        <v>0.142678127014241</v>
      </c>
      <c r="BL18" s="35">
        <v>241.4792</v>
      </c>
      <c r="BM18" s="36">
        <f t="shared" si="31"/>
        <v>0.390000345371447</v>
      </c>
      <c r="BN18" s="35">
        <v>236.1798</v>
      </c>
      <c r="BO18" s="36">
        <f t="shared" si="32"/>
        <v>0.409058719579895</v>
      </c>
      <c r="BP18" s="35">
        <v>220.3632</v>
      </c>
      <c r="BQ18" s="36">
        <f t="shared" si="33"/>
        <v>0.457274362501322</v>
      </c>
      <c r="BR18" s="35">
        <v>208.6072</v>
      </c>
      <c r="BS18" s="36">
        <f t="shared" si="34"/>
        <v>0.215931770279596</v>
      </c>
      <c r="BT18" s="35">
        <v>235.3121</v>
      </c>
      <c r="BU18" s="36">
        <f t="shared" si="35"/>
        <v>0.195350817170512</v>
      </c>
      <c r="BV18" s="35">
        <f t="shared" si="36"/>
        <v>2683.6273</v>
      </c>
      <c r="BW18" s="36">
        <f t="shared" si="37"/>
        <v>0.246210719290687</v>
      </c>
      <c r="BX18" s="36"/>
      <c r="BY18" s="41">
        <v>91.1304</v>
      </c>
      <c r="BZ18" s="721">
        <f t="shared" si="38"/>
        <v>1.72561522724826</v>
      </c>
      <c r="CA18" s="41">
        <v>101.3522</v>
      </c>
      <c r="CB18" s="721">
        <f t="shared" si="39"/>
        <v>1.99268896198615</v>
      </c>
      <c r="CC18" s="41">
        <v>107.9145</v>
      </c>
      <c r="CD18" s="721">
        <f t="shared" si="40"/>
        <v>2.54389704047184</v>
      </c>
      <c r="CE18" s="41">
        <v>230.7812</v>
      </c>
      <c r="CF18" s="721">
        <f t="shared" si="41"/>
        <v>5.38432448731745</v>
      </c>
      <c r="CG18" s="41">
        <v>271.097</v>
      </c>
      <c r="CH18" s="721">
        <f t="shared" si="42"/>
        <v>8.45349741429513</v>
      </c>
      <c r="CI18" s="41">
        <v>290.1972</v>
      </c>
      <c r="CJ18" s="721">
        <f t="shared" si="43"/>
        <v>8.61876572345285</v>
      </c>
      <c r="CK18" s="702">
        <v>199.9823</v>
      </c>
      <c r="CL18" s="721">
        <f t="shared" si="44"/>
        <v>4.23693465560179</v>
      </c>
      <c r="CM18" s="41">
        <v>173.726</v>
      </c>
      <c r="CN18" s="721">
        <f t="shared" si="45"/>
        <v>5.51408173442872</v>
      </c>
      <c r="CO18" s="41">
        <v>167.6153</v>
      </c>
      <c r="CP18" s="721">
        <f t="shared" si="46"/>
        <v>2.1520736720563</v>
      </c>
      <c r="CQ18" s="41">
        <v>151.216</v>
      </c>
      <c r="CR18" s="721">
        <f t="shared" si="47"/>
        <v>2.64954554450189</v>
      </c>
      <c r="CS18" s="41">
        <v>171.5616</v>
      </c>
      <c r="CT18" s="721">
        <f t="shared" si="48"/>
        <v>2.49246184099635</v>
      </c>
      <c r="CU18" s="41">
        <v>196.8561</v>
      </c>
      <c r="CV18" s="721">
        <f t="shared" si="49"/>
        <v>3.00737937520611</v>
      </c>
      <c r="CW18" s="41">
        <f t="shared" si="50"/>
        <v>2153.4298</v>
      </c>
      <c r="CX18" s="721">
        <f t="shared" si="51"/>
        <v>3.24780743066044</v>
      </c>
      <c r="CY18" s="721"/>
      <c r="CZ18" s="721">
        <f t="shared" si="52"/>
        <v>0.147436839012926</v>
      </c>
      <c r="DA18" s="721">
        <f t="shared" si="53"/>
        <v>0.134546608824463</v>
      </c>
      <c r="DB18" s="721"/>
      <c r="DC18" s="721"/>
      <c r="DD18" s="721"/>
      <c r="DE18" s="721"/>
      <c r="DF18" s="721"/>
      <c r="DG18" s="721"/>
      <c r="DH18" s="721"/>
      <c r="DI18" s="721"/>
      <c r="DJ18" s="721"/>
      <c r="DK18" s="721"/>
      <c r="DL18" s="735" t="s">
        <v>94</v>
      </c>
      <c r="DM18" s="731">
        <v>33.4348</v>
      </c>
      <c r="DN18" s="731">
        <v>33.8666</v>
      </c>
      <c r="DO18" s="731">
        <v>30.4508</v>
      </c>
      <c r="DP18" s="731">
        <v>36.1481</v>
      </c>
      <c r="DQ18" s="731">
        <v>28.6769</v>
      </c>
      <c r="DR18" s="731">
        <v>30.1699</v>
      </c>
      <c r="DS18" s="731">
        <v>38.1869</v>
      </c>
      <c r="DT18" s="731">
        <v>26.6693</v>
      </c>
      <c r="DU18" s="731">
        <v>53.1762</v>
      </c>
      <c r="DV18" s="731">
        <v>41.4342</v>
      </c>
      <c r="DW18" s="731">
        <v>105.6138</v>
      </c>
      <c r="DX18" s="731">
        <v>49.1234</v>
      </c>
      <c r="DY18" s="721">
        <v>-0.463265397546183</v>
      </c>
      <c r="DZ18" s="41">
        <f t="shared" si="65"/>
        <v>506.9509</v>
      </c>
      <c r="EA18" s="36">
        <f t="shared" si="66"/>
        <v>-0.646890911865145</v>
      </c>
      <c r="EB18" s="36"/>
      <c r="EC18" s="50">
        <v>116.4564</v>
      </c>
      <c r="ED18" s="50">
        <v>111.7571</v>
      </c>
      <c r="EE18" s="50">
        <v>134.45383</v>
      </c>
      <c r="EF18" s="50">
        <v>130.23113</v>
      </c>
      <c r="EG18" s="50">
        <v>127.0119</v>
      </c>
      <c r="EH18" s="50">
        <v>131.2854</v>
      </c>
      <c r="EI18" s="50">
        <v>126.5023</v>
      </c>
      <c r="EJ18" s="50">
        <v>126.1601</v>
      </c>
      <c r="EK18" s="50">
        <v>125.5644</v>
      </c>
      <c r="EL18" s="50">
        <v>123.4414</v>
      </c>
      <c r="EM18" s="50">
        <v>91.2912</v>
      </c>
      <c r="EN18" s="50">
        <v>91.5227</v>
      </c>
      <c r="EO18" s="724">
        <f t="shared" si="68"/>
        <v>1435.67786</v>
      </c>
      <c r="EP18" s="36"/>
      <c r="EQ18" s="740">
        <f>SUM(EC18:EN18)</f>
        <v>1435.67786</v>
      </c>
    </row>
    <row r="19" s="206" customFormat="1" ht="27" customHeight="1" spans="1:147">
      <c r="A19" s="45"/>
      <c r="B19" s="707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0.200043312828944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127"/>
      <c r="R19" s="127"/>
      <c r="S19" s="35">
        <f t="shared" si="7"/>
        <v>2953.13498790362</v>
      </c>
      <c r="T19" s="36">
        <f t="shared" si="8"/>
        <v>0.0711124226913287</v>
      </c>
      <c r="U19" s="36"/>
      <c r="V19" s="35">
        <v>265.551493800929</v>
      </c>
      <c r="W19" s="36">
        <f t="shared" si="9"/>
        <v>-0.184606886785485</v>
      </c>
      <c r="X19" s="35">
        <v>254.803245946766</v>
      </c>
      <c r="Y19" s="36">
        <f t="shared" si="10"/>
        <v>0.81219078641267</v>
      </c>
      <c r="Z19" s="35">
        <v>348.304200928567</v>
      </c>
      <c r="AA19" s="36">
        <f t="shared" si="11"/>
        <v>0.115830814155518</v>
      </c>
      <c r="AB19" s="35">
        <v>396.83910872911</v>
      </c>
      <c r="AC19" s="36">
        <f t="shared" si="12"/>
        <v>0.0914359799123001</v>
      </c>
      <c r="AD19" s="35">
        <v>404.839136810118</v>
      </c>
      <c r="AE19" s="36">
        <f t="shared" si="13"/>
        <v>0.0910847639046415</v>
      </c>
      <c r="AF19" s="35">
        <v>353.849421800236</v>
      </c>
      <c r="AG19" s="36">
        <f t="shared" si="14"/>
        <v>0.102992205154572</v>
      </c>
      <c r="AH19" s="35">
        <v>361.188811563372</v>
      </c>
      <c r="AI19" s="36">
        <f t="shared" si="15"/>
        <v>0.131393787312646</v>
      </c>
      <c r="AJ19" s="35">
        <v>371.697437893166</v>
      </c>
      <c r="AK19" s="36">
        <f t="shared" si="16"/>
        <v>0.11329684839714</v>
      </c>
      <c r="AL19" s="35">
        <v>342.93030356184</v>
      </c>
      <c r="AM19" s="36">
        <f t="shared" si="17"/>
        <v>0.048312397468246</v>
      </c>
      <c r="AN19" s="35">
        <v>330.700134730297</v>
      </c>
      <c r="AO19" s="36">
        <f t="shared" si="18"/>
        <v>-0.0201889641562562</v>
      </c>
      <c r="AP19" s="35">
        <v>349.939604756063</v>
      </c>
      <c r="AQ19" s="36">
        <f t="shared" si="19"/>
        <v>-0.0173802181023439</v>
      </c>
      <c r="AR19" s="35">
        <v>344.872152053529</v>
      </c>
      <c r="AS19" s="36">
        <f t="shared" si="20"/>
        <v>-0.0650758310914886</v>
      </c>
      <c r="AT19" s="35">
        <f t="shared" si="21"/>
        <v>4125.51505257399</v>
      </c>
      <c r="AU19" s="36">
        <f t="shared" si="22"/>
        <v>0.0642011800038729</v>
      </c>
      <c r="AV19" s="36"/>
      <c r="AW19" s="35">
        <f t="shared" si="23"/>
        <v>3507.75364352852</v>
      </c>
      <c r="AX19" s="35">
        <v>325.672966201601</v>
      </c>
      <c r="AY19" s="36">
        <f t="shared" si="24"/>
        <v>0.562955746702614</v>
      </c>
      <c r="AZ19" s="35">
        <v>140.605088524461</v>
      </c>
      <c r="BA19" s="36">
        <f t="shared" si="25"/>
        <v>-0.579330792042273</v>
      </c>
      <c r="BB19" s="35">
        <v>312.147860150439</v>
      </c>
      <c r="BC19" s="36">
        <f t="shared" si="26"/>
        <v>-0.212542868648566</v>
      </c>
      <c r="BD19" s="35">
        <v>363.593574000554</v>
      </c>
      <c r="BE19" s="36">
        <f t="shared" si="27"/>
        <v>0.18215265260276</v>
      </c>
      <c r="BF19" s="35">
        <v>371.042791727133</v>
      </c>
      <c r="BG19" s="36">
        <f t="shared" si="28"/>
        <v>0.318216631654151</v>
      </c>
      <c r="BH19" s="35">
        <v>320.808633231137</v>
      </c>
      <c r="BI19" s="36">
        <f t="shared" si="29"/>
        <v>0.256224173679985</v>
      </c>
      <c r="BJ19" s="35">
        <v>319.242350111617</v>
      </c>
      <c r="BK19" s="36">
        <f t="shared" si="30"/>
        <v>-0.0207120344099218</v>
      </c>
      <c r="BL19" s="35">
        <v>333.870915406178</v>
      </c>
      <c r="BM19" s="36">
        <f t="shared" si="31"/>
        <v>-0.145839984928952</v>
      </c>
      <c r="BN19" s="35">
        <v>327.126059359827</v>
      </c>
      <c r="BO19" s="36">
        <f t="shared" si="32"/>
        <v>-0.103516859420891</v>
      </c>
      <c r="BP19" s="35">
        <v>337.514196750725</v>
      </c>
      <c r="BQ19" s="36">
        <f t="shared" si="33"/>
        <v>-0.129399455583208</v>
      </c>
      <c r="BR19" s="35">
        <v>356.129208064845</v>
      </c>
      <c r="BS19" s="36">
        <f t="shared" si="34"/>
        <v>-0.0615089549577529</v>
      </c>
      <c r="BT19" s="35">
        <v>368.877138405946</v>
      </c>
      <c r="BU19" s="36">
        <f t="shared" si="35"/>
        <v>0.064172762155563</v>
      </c>
      <c r="BV19" s="35">
        <f t="shared" si="36"/>
        <v>3876.63078193446</v>
      </c>
      <c r="BW19" s="36">
        <f t="shared" si="37"/>
        <v>-0.0257228006296936</v>
      </c>
      <c r="BX19" s="36"/>
      <c r="BY19" s="41">
        <v>208.369921470059</v>
      </c>
      <c r="BZ19" s="721">
        <f t="shared" si="38"/>
        <v>-0.373148883154698</v>
      </c>
      <c r="CA19" s="41">
        <v>334.241455910389</v>
      </c>
      <c r="CB19" s="721">
        <f t="shared" si="39"/>
        <v>0.122280812254858</v>
      </c>
      <c r="CC19" s="41">
        <v>396.399813682214</v>
      </c>
      <c r="CD19" s="721">
        <f t="shared" si="40"/>
        <v>-0.0997064994722323</v>
      </c>
      <c r="CE19" s="41">
        <v>307.569054808637</v>
      </c>
      <c r="CF19" s="721">
        <f t="shared" si="41"/>
        <v>-0.243748852885403</v>
      </c>
      <c r="CG19" s="41">
        <v>281.473304779605</v>
      </c>
      <c r="CH19" s="721">
        <f t="shared" si="42"/>
        <v>-0.355329644654657</v>
      </c>
      <c r="CI19" s="41">
        <v>255.375306376536</v>
      </c>
      <c r="CJ19" s="721">
        <f t="shared" si="43"/>
        <v>-0.364183214766447</v>
      </c>
      <c r="CK19" s="702">
        <v>325.994356439635</v>
      </c>
      <c r="CL19" s="721">
        <f t="shared" si="44"/>
        <v>-0.200685615995153</v>
      </c>
      <c r="CM19" s="41">
        <v>390.876310662244</v>
      </c>
      <c r="CN19" s="721">
        <f t="shared" si="45"/>
        <v>-0.13533216606426</v>
      </c>
      <c r="CO19" s="41">
        <v>364.899287619074</v>
      </c>
      <c r="CP19" s="721">
        <f t="shared" si="46"/>
        <v>-0.16286779466191</v>
      </c>
      <c r="CQ19" s="41">
        <v>387.679744648934</v>
      </c>
      <c r="CR19" s="721">
        <f t="shared" si="47"/>
        <v>-0.105801383273045</v>
      </c>
      <c r="CS19" s="41">
        <v>379.470011936889</v>
      </c>
      <c r="CT19" s="721">
        <f t="shared" si="48"/>
        <v>-0.134135805386578</v>
      </c>
      <c r="CU19" s="41">
        <v>346.632756939538</v>
      </c>
      <c r="CV19" s="721">
        <f t="shared" si="49"/>
        <v>-0.20906294707683</v>
      </c>
      <c r="CW19" s="41">
        <f t="shared" si="50"/>
        <v>3978.98132527375</v>
      </c>
      <c r="CX19" s="721">
        <f t="shared" si="51"/>
        <v>-0.183668861774447</v>
      </c>
      <c r="CY19" s="721"/>
      <c r="CZ19" s="721">
        <f t="shared" si="52"/>
        <v>-0.0865345191040083</v>
      </c>
      <c r="DA19" s="721">
        <f t="shared" si="53"/>
        <v>-0.0211765840887028</v>
      </c>
      <c r="DB19" s="721"/>
      <c r="DC19" s="721"/>
      <c r="DD19" s="721"/>
      <c r="DE19" s="721"/>
      <c r="DF19" s="721"/>
      <c r="DG19" s="721"/>
      <c r="DH19" s="721"/>
      <c r="DI19" s="721"/>
      <c r="DJ19" s="721"/>
      <c r="DK19" s="721"/>
      <c r="DL19" s="206"/>
      <c r="DM19" s="731">
        <v>332.407354586371</v>
      </c>
      <c r="DN19" s="731">
        <v>297.823372065713</v>
      </c>
      <c r="DO19" s="731">
        <v>440.300650232216</v>
      </c>
      <c r="DP19" s="731">
        <v>406.702265486984</v>
      </c>
      <c r="DQ19" s="731">
        <v>436.615864907923</v>
      </c>
      <c r="DR19" s="731">
        <v>401.649205097235</v>
      </c>
      <c r="DS19" s="731">
        <v>407.842474704744</v>
      </c>
      <c r="DT19" s="731">
        <v>452.053719730822</v>
      </c>
      <c r="DU19" s="731">
        <v>435.892067336847</v>
      </c>
      <c r="DV19" s="731">
        <v>433.549926601276</v>
      </c>
      <c r="DW19" s="731">
        <v>391.13190333291</v>
      </c>
      <c r="DX19" s="731">
        <v>438.255807663128</v>
      </c>
      <c r="DY19" s="721">
        <v>0.0216392469081057</v>
      </c>
      <c r="DZ19" s="41">
        <f t="shared" si="65"/>
        <v>4874.22461174617</v>
      </c>
      <c r="EA19" s="36">
        <f t="shared" si="66"/>
        <v>0.0656569459245755</v>
      </c>
      <c r="EB19" s="733"/>
      <c r="EC19" s="50">
        <v>392.581430548022</v>
      </c>
      <c r="ED19" s="50">
        <v>171.806228091386</v>
      </c>
      <c r="EE19" s="50">
        <v>333.350239341918</v>
      </c>
      <c r="EF19" s="50">
        <v>387.795233547207</v>
      </c>
      <c r="EG19" s="50">
        <v>406.228466936193</v>
      </c>
      <c r="EH19" s="50">
        <v>450.416980760757</v>
      </c>
      <c r="EI19" s="50">
        <v>398.901248468008</v>
      </c>
      <c r="EJ19" s="50">
        <v>407.321557497139</v>
      </c>
      <c r="EK19" s="50">
        <v>391.009309398134</v>
      </c>
      <c r="EL19" s="50">
        <v>365.789350032546</v>
      </c>
      <c r="EM19" s="50">
        <v>439.742105755554</v>
      </c>
      <c r="EN19" s="50">
        <v>428.973151716193</v>
      </c>
      <c r="EO19" s="724">
        <f t="shared" si="68"/>
        <v>4573.91530209306</v>
      </c>
      <c r="EP19" s="36"/>
      <c r="EQ19" s="740">
        <f>SUM(EC19:EN19)</f>
        <v>4573.91530209306</v>
      </c>
    </row>
    <row r="20" s="206" customFormat="1" ht="27" customHeight="1" spans="1:147">
      <c r="A20" s="45"/>
      <c r="B20" s="707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127"/>
      <c r="R20" s="127"/>
      <c r="S20" s="35">
        <f t="shared" si="7"/>
        <v>330505.118986608</v>
      </c>
      <c r="T20" s="36">
        <f t="shared" si="8"/>
        <v>-0.126234518622904</v>
      </c>
      <c r="U20" s="36"/>
      <c r="V20" s="35">
        <f>V21+V22</f>
        <v>41639.5951247153</v>
      </c>
      <c r="W20" s="36">
        <f t="shared" si="9"/>
        <v>-0.0613191260478131</v>
      </c>
      <c r="X20" s="35">
        <f>X21+X22</f>
        <v>41873.0573777258</v>
      </c>
      <c r="Y20" s="36">
        <f t="shared" si="10"/>
        <v>0.44456884359547</v>
      </c>
      <c r="Z20" s="35">
        <f>Z21+Z22</f>
        <v>50426.9988116425</v>
      </c>
      <c r="AA20" s="36">
        <f t="shared" si="11"/>
        <v>0.0913964861811674</v>
      </c>
      <c r="AB20" s="35">
        <f>AB21+AB22</f>
        <v>51696.4539721683</v>
      </c>
      <c r="AC20" s="36">
        <f t="shared" si="12"/>
        <v>0.0660070105532646</v>
      </c>
      <c r="AD20" s="35">
        <f>AD21+AD22</f>
        <v>51771.3419325071</v>
      </c>
      <c r="AE20" s="36">
        <f t="shared" si="13"/>
        <v>0.0523009998317721</v>
      </c>
      <c r="AF20" s="35">
        <f>AF21+AF22</f>
        <v>48556.1854920174</v>
      </c>
      <c r="AG20" s="36">
        <f t="shared" si="14"/>
        <v>0.0719639616256533</v>
      </c>
      <c r="AH20" s="35">
        <f>AH21+AH22</f>
        <v>45555.0901163336</v>
      </c>
      <c r="AI20" s="36">
        <f t="shared" si="15"/>
        <v>0.00036346289907363</v>
      </c>
      <c r="AJ20" s="35">
        <f>AJ21+AJ22</f>
        <v>46735.0832922574</v>
      </c>
      <c r="AK20" s="36">
        <f t="shared" si="16"/>
        <v>-0.0392076961997559</v>
      </c>
      <c r="AL20" s="35">
        <f>AL21+AL22</f>
        <v>49315.5942555778</v>
      </c>
      <c r="AM20" s="36">
        <f t="shared" si="17"/>
        <v>0.0306524992959321</v>
      </c>
      <c r="AN20" s="35">
        <f>AN21+AN22</f>
        <v>47624.1748756874</v>
      </c>
      <c r="AO20" s="36">
        <f t="shared" si="18"/>
        <v>-0.0288560543560775</v>
      </c>
      <c r="AP20" s="35">
        <f>AP21+AP22</f>
        <v>51126.8541243882</v>
      </c>
      <c r="AQ20" s="36">
        <f t="shared" si="19"/>
        <v>-0.0196808307699378</v>
      </c>
      <c r="AR20" s="35">
        <f>AR21+AR22</f>
        <v>53504.9508172985</v>
      </c>
      <c r="AS20" s="36">
        <f t="shared" si="20"/>
        <v>-0.0624687621935719</v>
      </c>
      <c r="AT20" s="35">
        <f t="shared" si="21"/>
        <v>579825.380192319</v>
      </c>
      <c r="AU20" s="36">
        <f t="shared" si="22"/>
        <v>0.0301913384305388</v>
      </c>
      <c r="AV20" s="36"/>
      <c r="AW20" s="35">
        <f t="shared" si="23"/>
        <v>505762.66149629</v>
      </c>
      <c r="AX20" s="35">
        <f>AX21+AX22</f>
        <v>44359.6927136669</v>
      </c>
      <c r="AY20" s="36">
        <f t="shared" si="24"/>
        <v>0.531325431231559</v>
      </c>
      <c r="AZ20" s="35">
        <f>AZ21+AZ22</f>
        <v>28986.5433297769</v>
      </c>
      <c r="BA20" s="36">
        <f t="shared" si="25"/>
        <v>-0.19619626495994</v>
      </c>
      <c r="BB20" s="35">
        <f>BB21+BB22</f>
        <v>46204.105886476</v>
      </c>
      <c r="BC20" s="36">
        <f t="shared" si="26"/>
        <v>0.0394252861990081</v>
      </c>
      <c r="BD20" s="35">
        <f>BD21+BD22</f>
        <v>48495.4165032531</v>
      </c>
      <c r="BE20" s="36">
        <f t="shared" si="27"/>
        <v>0.091269781869739</v>
      </c>
      <c r="BF20" s="35">
        <f>BF21+BF22</f>
        <v>49198.2255464773</v>
      </c>
      <c r="BG20" s="36">
        <f t="shared" si="28"/>
        <v>0.100795480821436</v>
      </c>
      <c r="BH20" s="35">
        <f>BH21+BH22</f>
        <v>45296.4719246541</v>
      </c>
      <c r="BI20" s="36">
        <f t="shared" si="29"/>
        <v>0.016253128565016</v>
      </c>
      <c r="BJ20" s="35">
        <f>BJ21+BJ22</f>
        <v>45538.5385470937</v>
      </c>
      <c r="BK20" s="36">
        <f t="shared" si="30"/>
        <v>0.0271713112018948</v>
      </c>
      <c r="BL20" s="35">
        <f>BL21+BL22</f>
        <v>48642.2331937975</v>
      </c>
      <c r="BM20" s="36">
        <f t="shared" si="31"/>
        <v>-2.57323949279797e-5</v>
      </c>
      <c r="BN20" s="35">
        <f>BN21+BN22</f>
        <v>47848.9057070804</v>
      </c>
      <c r="BO20" s="36">
        <f t="shared" si="32"/>
        <v>0.0336276610722728</v>
      </c>
      <c r="BP20" s="35">
        <f>BP21+BP22</f>
        <v>49039.2542622607</v>
      </c>
      <c r="BQ20" s="36">
        <f t="shared" si="33"/>
        <v>0.0272071735665189</v>
      </c>
      <c r="BR20" s="35">
        <f>BR21+BR22</f>
        <v>52153.2738817532</v>
      </c>
      <c r="BS20" s="36">
        <f t="shared" si="34"/>
        <v>-0.00911621440703791</v>
      </c>
      <c r="BT20" s="35">
        <f>BT21+BT22</f>
        <v>57070.0459458671</v>
      </c>
      <c r="BU20" s="36">
        <f t="shared" si="35"/>
        <v>0.0954932720776094</v>
      </c>
      <c r="BV20" s="35">
        <f t="shared" si="36"/>
        <v>562832.707442157</v>
      </c>
      <c r="BW20" s="36">
        <f t="shared" si="37"/>
        <v>0.0521719080654539</v>
      </c>
      <c r="BX20" s="36"/>
      <c r="BY20" s="41">
        <f>BY21+BY22</f>
        <v>28968.1682344888</v>
      </c>
      <c r="BZ20" s="721">
        <f t="shared" si="38"/>
        <v>-0.0849039765559747</v>
      </c>
      <c r="CA20" s="41">
        <f>CA21+CA22</f>
        <v>36061.7176384883</v>
      </c>
      <c r="CB20" s="721">
        <f t="shared" si="39"/>
        <v>0.487865884116554</v>
      </c>
      <c r="CC20" s="41">
        <f>SUM(CC21:CC22)</f>
        <v>44451.5892579794</v>
      </c>
      <c r="CD20" s="721">
        <f t="shared" si="40"/>
        <v>0.229630311544051</v>
      </c>
      <c r="CE20" s="41">
        <v>44439.4386328218</v>
      </c>
      <c r="CF20" s="721">
        <f t="shared" si="41"/>
        <v>0.207624576883723</v>
      </c>
      <c r="CG20" s="41">
        <v>44693.3389568102</v>
      </c>
      <c r="CH20" s="721">
        <f t="shared" si="42"/>
        <v>0.196480233270284</v>
      </c>
      <c r="CI20" s="41">
        <f>CI21+CI22</f>
        <v>44572.0368788574</v>
      </c>
      <c r="CJ20" s="721">
        <f t="shared" si="43"/>
        <v>0.271706459767433</v>
      </c>
      <c r="CK20" s="41">
        <f>CK21+CK22</f>
        <v>44333.92760338</v>
      </c>
      <c r="CL20" s="721">
        <f t="shared" si="44"/>
        <v>0.200810459854411</v>
      </c>
      <c r="CM20" s="41">
        <v>48643.4849071618</v>
      </c>
      <c r="CN20" s="721">
        <f t="shared" si="45"/>
        <v>0.218154008006485</v>
      </c>
      <c r="CO20" s="41">
        <f>SUM(CO21:CO22)</f>
        <v>46292.2070578515</v>
      </c>
      <c r="CP20" s="721">
        <f t="shared" si="46"/>
        <v>0.150125253093191</v>
      </c>
      <c r="CQ20" s="41">
        <f>SUM(CQ21:CQ22)</f>
        <v>47740.3736307582</v>
      </c>
      <c r="CR20" s="721">
        <f t="shared" si="47"/>
        <v>0.145452904586632</v>
      </c>
      <c r="CS20" s="41">
        <f>CS21+CS22</f>
        <v>52633.0884005169</v>
      </c>
      <c r="CT20" s="721">
        <f t="shared" si="48"/>
        <v>0.16607552550867</v>
      </c>
      <c r="CU20" s="41">
        <f>CU21+CU22</f>
        <v>52095.2956996563</v>
      </c>
      <c r="CV20" s="721">
        <f t="shared" si="49"/>
        <v>0.154160835998173</v>
      </c>
      <c r="CW20" s="41">
        <f t="shared" si="50"/>
        <v>534924.666898771</v>
      </c>
      <c r="CX20" s="721">
        <f t="shared" si="51"/>
        <v>0.178172451048804</v>
      </c>
      <c r="CY20" s="721"/>
      <c r="CZ20" s="721">
        <f t="shared" si="52"/>
        <v>-0.0102177682747439</v>
      </c>
      <c r="DA20" s="721">
        <f t="shared" si="53"/>
        <v>0.102485891870071</v>
      </c>
      <c r="DB20" s="721"/>
      <c r="DC20" s="721"/>
      <c r="DD20" s="721"/>
      <c r="DE20" s="721"/>
      <c r="DF20" s="721"/>
      <c r="DG20" s="721"/>
      <c r="DH20" s="721"/>
      <c r="DI20" s="721"/>
      <c r="DJ20" s="721"/>
      <c r="DK20" s="721"/>
      <c r="DL20" s="206"/>
      <c r="DM20" s="41">
        <v>31655.8781727246</v>
      </c>
      <c r="DN20" s="41">
        <v>24237.2098342053</v>
      </c>
      <c r="DO20" s="41">
        <v>36150.3688065085</v>
      </c>
      <c r="DP20" s="41">
        <v>36799.0511980949</v>
      </c>
      <c r="DQ20" s="41">
        <v>37354.0136427093</v>
      </c>
      <c r="DR20" s="41">
        <v>35048.9977750122</v>
      </c>
      <c r="DS20" s="41">
        <v>36920.0045182444</v>
      </c>
      <c r="DT20" s="41">
        <v>39932.1305741686</v>
      </c>
      <c r="DU20" s="41">
        <v>40249.7092671876</v>
      </c>
      <c r="DV20" s="41">
        <v>41678.1636674854</v>
      </c>
      <c r="DW20" s="41">
        <v>48866.702022169</v>
      </c>
      <c r="DX20" s="41">
        <v>45136.9463204856</v>
      </c>
      <c r="DY20" s="721">
        <v>0.0893762922074715</v>
      </c>
      <c r="DZ20" s="41">
        <f t="shared" si="65"/>
        <v>454029.175798995</v>
      </c>
      <c r="EA20" s="36">
        <f t="shared" si="66"/>
        <v>-0.0245563508647466</v>
      </c>
      <c r="EB20" s="36"/>
      <c r="EC20" s="737">
        <f t="shared" ref="EC20:EN20" si="80">EC21+EC22</f>
        <v>40301.6120501098</v>
      </c>
      <c r="ED20" s="737">
        <f t="shared" si="80"/>
        <v>21642.8172314494</v>
      </c>
      <c r="EE20" s="737">
        <f t="shared" si="80"/>
        <v>34755.7060684087</v>
      </c>
      <c r="EF20" s="737">
        <f t="shared" si="80"/>
        <v>39023.3359129892</v>
      </c>
      <c r="EG20" s="737">
        <f t="shared" si="80"/>
        <v>39695.7036740651</v>
      </c>
      <c r="EH20" s="737">
        <f t="shared" si="80"/>
        <v>43025.7395115059</v>
      </c>
      <c r="EI20" s="737">
        <f t="shared" si="80"/>
        <v>39391.5206622205</v>
      </c>
      <c r="EJ20" s="737">
        <f t="shared" si="80"/>
        <v>44491.9302119331</v>
      </c>
      <c r="EK20" s="737">
        <f t="shared" si="80"/>
        <v>40817.1487079361</v>
      </c>
      <c r="EL20" s="737">
        <f t="shared" si="80"/>
        <v>37045.1065372703</v>
      </c>
      <c r="EM20" s="50">
        <f t="shared" si="80"/>
        <v>43834.7822718329</v>
      </c>
      <c r="EN20" s="50">
        <f t="shared" si="80"/>
        <v>41433.7512605693</v>
      </c>
      <c r="EO20" s="724">
        <f t="shared" si="68"/>
        <v>465459.15410029</v>
      </c>
      <c r="EP20" s="36"/>
      <c r="EQ20" s="738"/>
    </row>
    <row r="21" s="206" customFormat="1" ht="27" customHeight="1" spans="1:147">
      <c r="A21" s="45"/>
      <c r="B21" s="707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127"/>
      <c r="R21" s="127"/>
      <c r="S21" s="35">
        <f t="shared" si="7"/>
        <v>118270.939</v>
      </c>
      <c r="T21" s="36">
        <f t="shared" si="8"/>
        <v>-0.232752007480455</v>
      </c>
      <c r="U21" s="36"/>
      <c r="V21" s="35">
        <v>22905.0144</v>
      </c>
      <c r="W21" s="36">
        <f t="shared" si="9"/>
        <v>0.271520718893881</v>
      </c>
      <c r="X21" s="35">
        <v>22339.126</v>
      </c>
      <c r="Y21" s="36">
        <f t="shared" si="10"/>
        <v>0.302154197631757</v>
      </c>
      <c r="Z21" s="35">
        <v>20346.423</v>
      </c>
      <c r="AA21" s="36">
        <f t="shared" si="11"/>
        <v>0.210873604587346</v>
      </c>
      <c r="AB21" s="35">
        <v>21174.7348</v>
      </c>
      <c r="AC21" s="36">
        <f t="shared" si="12"/>
        <v>0.150881766378174</v>
      </c>
      <c r="AD21" s="35">
        <v>20026.5253</v>
      </c>
      <c r="AE21" s="36">
        <f t="shared" si="13"/>
        <v>0.0454484443257135</v>
      </c>
      <c r="AF21" s="35">
        <v>20285.5712</v>
      </c>
      <c r="AG21" s="36">
        <f t="shared" si="14"/>
        <v>0.0243826815049457</v>
      </c>
      <c r="AH21" s="35">
        <v>13930.6444</v>
      </c>
      <c r="AI21" s="36">
        <f t="shared" si="15"/>
        <v>-0.290301477856645</v>
      </c>
      <c r="AJ21" s="35">
        <v>13141.519</v>
      </c>
      <c r="AK21" s="36">
        <f t="shared" si="16"/>
        <v>-0.35627821611846</v>
      </c>
      <c r="AL21" s="35">
        <v>21230.2923</v>
      </c>
      <c r="AM21" s="36">
        <f t="shared" si="17"/>
        <v>0.0214335079684742</v>
      </c>
      <c r="AN21" s="35">
        <v>20153.559</v>
      </c>
      <c r="AO21" s="36">
        <f t="shared" si="18"/>
        <v>-0.00909446392061708</v>
      </c>
      <c r="AP21" s="35">
        <v>21854.1204</v>
      </c>
      <c r="AQ21" s="36">
        <f t="shared" si="19"/>
        <v>0.0176318721105198</v>
      </c>
      <c r="AR21" s="35">
        <v>27481.3758</v>
      </c>
      <c r="AS21" s="36">
        <f t="shared" si="20"/>
        <v>0.0280708703407537</v>
      </c>
      <c r="AT21" s="35">
        <f t="shared" si="21"/>
        <v>244868.9056</v>
      </c>
      <c r="AU21" s="36">
        <f t="shared" si="22"/>
        <v>0.0258286776358314</v>
      </c>
      <c r="AV21" s="36"/>
      <c r="AW21" s="35">
        <f t="shared" si="23"/>
        <v>211972.4966</v>
      </c>
      <c r="AX21" s="35">
        <v>18013.8743</v>
      </c>
      <c r="AY21" s="36">
        <f t="shared" si="24"/>
        <v>1.11641569448209</v>
      </c>
      <c r="AZ21" s="35">
        <v>17155.5151</v>
      </c>
      <c r="BA21" s="36">
        <f t="shared" si="25"/>
        <v>0.921482711100571</v>
      </c>
      <c r="BB21" s="35">
        <v>16803.094</v>
      </c>
      <c r="BC21" s="36">
        <f t="shared" si="26"/>
        <v>0.316817701617314</v>
      </c>
      <c r="BD21" s="35">
        <v>18398.7056</v>
      </c>
      <c r="BE21" s="36">
        <f t="shared" si="27"/>
        <v>0.333125196595457</v>
      </c>
      <c r="BF21" s="35">
        <v>19155.9186</v>
      </c>
      <c r="BG21" s="36">
        <f t="shared" si="28"/>
        <v>0.317393097954569</v>
      </c>
      <c r="BH21" s="35">
        <v>19802.7276</v>
      </c>
      <c r="BI21" s="36">
        <f t="shared" si="29"/>
        <v>0.135421542728442</v>
      </c>
      <c r="BJ21" s="35">
        <v>19628.9607</v>
      </c>
      <c r="BK21" s="36">
        <f t="shared" si="30"/>
        <v>0.537870904861109</v>
      </c>
      <c r="BL21" s="35">
        <v>20414.9049</v>
      </c>
      <c r="BM21" s="36">
        <f t="shared" si="31"/>
        <v>0.486417499217852</v>
      </c>
      <c r="BN21" s="35">
        <v>20784.8011</v>
      </c>
      <c r="BO21" s="36">
        <f t="shared" si="32"/>
        <v>0.456599881127418</v>
      </c>
      <c r="BP21" s="35">
        <v>20338.527</v>
      </c>
      <c r="BQ21" s="36">
        <f t="shared" si="33"/>
        <v>0.302106969342802</v>
      </c>
      <c r="BR21" s="35">
        <v>21475.4677</v>
      </c>
      <c r="BS21" s="36">
        <f t="shared" si="34"/>
        <v>0.304766658091342</v>
      </c>
      <c r="BT21" s="35">
        <v>26731.013</v>
      </c>
      <c r="BU21" s="36">
        <f t="shared" si="35"/>
        <v>0.365079807824474</v>
      </c>
      <c r="BV21" s="35">
        <f t="shared" si="36"/>
        <v>238703.5096</v>
      </c>
      <c r="BW21" s="36">
        <f t="shared" si="37"/>
        <v>0.417383730217259</v>
      </c>
      <c r="BX21" s="36"/>
      <c r="BY21" s="41">
        <v>8511.501</v>
      </c>
      <c r="BZ21" s="721">
        <f t="shared" si="38"/>
        <v>3.47199775252125</v>
      </c>
      <c r="CA21" s="41">
        <v>8928.2693</v>
      </c>
      <c r="CB21" s="721">
        <f t="shared" si="39"/>
        <v>3.19108779482014</v>
      </c>
      <c r="CC21" s="41">
        <v>12760.3798</v>
      </c>
      <c r="CD21" s="721">
        <f t="shared" si="40"/>
        <v>6.3956847116389</v>
      </c>
      <c r="CE21" s="41">
        <v>13801.1836</v>
      </c>
      <c r="CF21" s="721">
        <f t="shared" si="41"/>
        <v>5.98383633558565</v>
      </c>
      <c r="CG21" s="41">
        <v>14540.7765</v>
      </c>
      <c r="CH21" s="721">
        <f t="shared" si="42"/>
        <v>6.86044174188466</v>
      </c>
      <c r="CI21" s="41">
        <v>17440.8595</v>
      </c>
      <c r="CJ21" s="721">
        <f t="shared" si="43"/>
        <v>8.59054646374276</v>
      </c>
      <c r="CK21" s="702">
        <v>12763.7246</v>
      </c>
      <c r="CL21" s="721">
        <f t="shared" si="44"/>
        <v>5.00305596192652</v>
      </c>
      <c r="CM21" s="736">
        <v>13734.3007</v>
      </c>
      <c r="CN21" s="721">
        <f t="shared" si="45"/>
        <v>7.03770269531617</v>
      </c>
      <c r="CO21" s="702">
        <v>14269.3964</v>
      </c>
      <c r="CP21" s="721">
        <f t="shared" si="46"/>
        <v>3.84688013813955</v>
      </c>
      <c r="CQ21" s="702">
        <v>15619.7052</v>
      </c>
      <c r="CR21" s="721">
        <f t="shared" si="47"/>
        <v>3.9716104228565</v>
      </c>
      <c r="CS21" s="50">
        <v>16459.2401</v>
      </c>
      <c r="CT21" s="721">
        <f t="shared" si="48"/>
        <v>3.33773866932853</v>
      </c>
      <c r="CU21" s="50">
        <v>19582.0148</v>
      </c>
      <c r="CV21" s="721">
        <f t="shared" si="49"/>
        <v>4.16072809590545</v>
      </c>
      <c r="CW21" s="41">
        <f t="shared" si="50"/>
        <v>168411.3515</v>
      </c>
      <c r="CX21" s="721">
        <f t="shared" si="51"/>
        <v>3.16323322576872</v>
      </c>
      <c r="CY21" s="721"/>
      <c r="CZ21" s="721">
        <f t="shared" si="52"/>
        <v>0.189727756629542</v>
      </c>
      <c r="DA21" s="721">
        <f t="shared" si="53"/>
        <v>0.0537484471858021</v>
      </c>
      <c r="DB21" s="721"/>
      <c r="DC21" s="721"/>
      <c r="DD21" s="721"/>
      <c r="DE21" s="721"/>
      <c r="DF21" s="721"/>
      <c r="DG21" s="721"/>
      <c r="DH21" s="721"/>
      <c r="DI21" s="721"/>
      <c r="DJ21" s="721"/>
      <c r="DK21" s="721"/>
      <c r="DL21" s="206"/>
      <c r="DM21" s="41">
        <v>1903.2883</v>
      </c>
      <c r="DN21" s="41">
        <v>2130.2988</v>
      </c>
      <c r="DO21" s="41">
        <v>1725.3818</v>
      </c>
      <c r="DP21" s="41">
        <v>1976.1608</v>
      </c>
      <c r="DQ21" s="41">
        <v>1849.8676</v>
      </c>
      <c r="DR21" s="41">
        <v>1818.547</v>
      </c>
      <c r="DS21" s="41">
        <v>2126.2045</v>
      </c>
      <c r="DT21" s="41">
        <v>1708.7346</v>
      </c>
      <c r="DU21" s="41">
        <v>2944.0374</v>
      </c>
      <c r="DV21" s="41">
        <v>3141.7798</v>
      </c>
      <c r="DW21" s="41">
        <v>15333.3286</v>
      </c>
      <c r="DX21" s="41">
        <v>3794.4287</v>
      </c>
      <c r="DY21" s="721">
        <v>0.551427655092732</v>
      </c>
      <c r="DZ21" s="41">
        <f t="shared" si="65"/>
        <v>40452.0579</v>
      </c>
      <c r="EA21" s="36">
        <f t="shared" si="66"/>
        <v>0.100396806404952</v>
      </c>
      <c r="EB21" s="36"/>
      <c r="EC21" s="50">
        <v>3237.998</v>
      </c>
      <c r="ED21" s="50">
        <v>3002.1352</v>
      </c>
      <c r="EE21" s="50">
        <v>3766.60466</v>
      </c>
      <c r="EF21" s="50">
        <v>3609.6626</v>
      </c>
      <c r="EG21" s="50">
        <v>3346.6557</v>
      </c>
      <c r="EH21" s="50">
        <v>3182.3725</v>
      </c>
      <c r="EI21" s="50">
        <v>2933.6125</v>
      </c>
      <c r="EJ21" s="50">
        <v>2950.7339</v>
      </c>
      <c r="EK21" s="50">
        <v>2918.4024</v>
      </c>
      <c r="EL21" s="50">
        <v>2923.2801</v>
      </c>
      <c r="EM21" s="50">
        <v>2444.1137</v>
      </c>
      <c r="EN21" s="50">
        <v>2445.7658</v>
      </c>
      <c r="EO21" s="724">
        <f t="shared" si="68"/>
        <v>36761.33706</v>
      </c>
      <c r="EP21" s="36"/>
      <c r="EQ21" s="740">
        <f>SUM(EC21:EN21)</f>
        <v>36761.33706</v>
      </c>
    </row>
    <row r="22" s="206" customFormat="1" ht="27" customHeight="1" spans="1:147">
      <c r="A22" s="29"/>
      <c r="B22" s="707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127"/>
      <c r="R22" s="127"/>
      <c r="S22" s="35">
        <f t="shared" si="7"/>
        <v>212234.179986608</v>
      </c>
      <c r="T22" s="36">
        <f t="shared" si="8"/>
        <v>-0.0529667248062766</v>
      </c>
      <c r="U22" s="36"/>
      <c r="V22" s="35">
        <v>18734.5807247153</v>
      </c>
      <c r="W22" s="36">
        <f t="shared" si="9"/>
        <v>-0.288897371470657</v>
      </c>
      <c r="X22" s="35">
        <v>19533.9313777258</v>
      </c>
      <c r="Y22" s="36">
        <f t="shared" si="10"/>
        <v>0.651076389840898</v>
      </c>
      <c r="Z22" s="35">
        <v>30080.5758116425</v>
      </c>
      <c r="AA22" s="36">
        <f t="shared" si="11"/>
        <v>0.0231136237007912</v>
      </c>
      <c r="AB22" s="35">
        <v>30521.7191721683</v>
      </c>
      <c r="AC22" s="36">
        <f t="shared" si="12"/>
        <v>0.0141214191238839</v>
      </c>
      <c r="AD22" s="35">
        <v>31744.8166325071</v>
      </c>
      <c r="AE22" s="36">
        <f t="shared" si="13"/>
        <v>0.0566704044753605</v>
      </c>
      <c r="AF22" s="35">
        <v>28270.6142920174</v>
      </c>
      <c r="AG22" s="36">
        <f t="shared" si="14"/>
        <v>0.108923582664077</v>
      </c>
      <c r="AH22" s="35">
        <v>31624.4457163336</v>
      </c>
      <c r="AI22" s="36">
        <f t="shared" si="15"/>
        <v>0.220569702176022</v>
      </c>
      <c r="AJ22" s="35">
        <v>33593.5642922574</v>
      </c>
      <c r="AK22" s="36">
        <f t="shared" si="16"/>
        <v>0.190107825388457</v>
      </c>
      <c r="AL22" s="35">
        <v>28085.3019555778</v>
      </c>
      <c r="AM22" s="36">
        <f t="shared" si="17"/>
        <v>0.0377325377404223</v>
      </c>
      <c r="AN22" s="35">
        <v>27470.6158756874</v>
      </c>
      <c r="AO22" s="36">
        <f t="shared" si="18"/>
        <v>-0.0428599378452269</v>
      </c>
      <c r="AP22" s="35">
        <v>29272.7337243882</v>
      </c>
      <c r="AQ22" s="36">
        <f t="shared" si="19"/>
        <v>-0.045800943165249</v>
      </c>
      <c r="AR22" s="35">
        <v>26023.5750172985</v>
      </c>
      <c r="AS22" s="36">
        <f t="shared" si="20"/>
        <v>-0.142241116790655</v>
      </c>
      <c r="AT22" s="35">
        <f t="shared" si="21"/>
        <v>334956.474592319</v>
      </c>
      <c r="AU22" s="36">
        <f t="shared" si="22"/>
        <v>0.0334042006158142</v>
      </c>
      <c r="AV22" s="36"/>
      <c r="AW22" s="35">
        <f t="shared" si="23"/>
        <v>293790.16489629</v>
      </c>
      <c r="AX22" s="35">
        <v>26345.8184136669</v>
      </c>
      <c r="AY22" s="36">
        <f t="shared" si="24"/>
        <v>0.287884194999727</v>
      </c>
      <c r="AZ22" s="35">
        <v>11831.0282297769</v>
      </c>
      <c r="BA22" s="36">
        <f t="shared" si="25"/>
        <v>-0.563968866684932</v>
      </c>
      <c r="BB22" s="35">
        <v>29401.011886476</v>
      </c>
      <c r="BC22" s="36">
        <f t="shared" si="26"/>
        <v>-0.0722660198418763</v>
      </c>
      <c r="BD22" s="35">
        <v>30096.7109032531</v>
      </c>
      <c r="BE22" s="36">
        <f t="shared" si="27"/>
        <v>-0.0176754233878058</v>
      </c>
      <c r="BF22" s="35">
        <v>30042.3069464773</v>
      </c>
      <c r="BG22" s="36">
        <f t="shared" si="28"/>
        <v>-0.00365658840739747</v>
      </c>
      <c r="BH22" s="35">
        <v>25493.7443246541</v>
      </c>
      <c r="BI22" s="36">
        <f t="shared" si="29"/>
        <v>-0.0603524510321954</v>
      </c>
      <c r="BJ22" s="35">
        <v>25909.5778470937</v>
      </c>
      <c r="BK22" s="36">
        <f t="shared" si="30"/>
        <v>-0.179302779766106</v>
      </c>
      <c r="BL22" s="35">
        <v>28227.3282937975</v>
      </c>
      <c r="BM22" s="36">
        <f t="shared" si="31"/>
        <v>-0.191406819297527</v>
      </c>
      <c r="BN22" s="35">
        <v>27064.1046070804</v>
      </c>
      <c r="BO22" s="36">
        <f t="shared" si="32"/>
        <v>-0.15484918247035</v>
      </c>
      <c r="BP22" s="35">
        <v>28700.7272622607</v>
      </c>
      <c r="BQ22" s="36">
        <f t="shared" si="33"/>
        <v>-0.106471668728494</v>
      </c>
      <c r="BR22" s="35">
        <v>30677.8061817532</v>
      </c>
      <c r="BS22" s="36">
        <f t="shared" si="34"/>
        <v>-0.151934128575564</v>
      </c>
      <c r="BT22" s="35">
        <v>30339.0329458671</v>
      </c>
      <c r="BU22" s="36">
        <f t="shared" si="35"/>
        <v>-0.066872610011258</v>
      </c>
      <c r="BV22" s="35">
        <f t="shared" si="36"/>
        <v>324129.197842157</v>
      </c>
      <c r="BW22" s="36">
        <f t="shared" si="37"/>
        <v>-0.115641412674187</v>
      </c>
      <c r="BX22" s="36"/>
      <c r="BY22" s="41">
        <v>20456.6672344888</v>
      </c>
      <c r="BZ22" s="721">
        <f t="shared" si="38"/>
        <v>-0.312440788449067</v>
      </c>
      <c r="CA22" s="41">
        <v>27133.4483384883</v>
      </c>
      <c r="CB22" s="721">
        <f t="shared" si="39"/>
        <v>0.227374023286456</v>
      </c>
      <c r="CC22" s="41">
        <v>31691.2094579794</v>
      </c>
      <c r="CD22" s="721">
        <f t="shared" si="40"/>
        <v>-0.0794125949274067</v>
      </c>
      <c r="CE22" s="41">
        <v>30638.2550328218</v>
      </c>
      <c r="CF22" s="721">
        <f t="shared" si="41"/>
        <v>-0.120169099044749</v>
      </c>
      <c r="CG22" s="41">
        <v>30152.5624568102</v>
      </c>
      <c r="CH22" s="721">
        <f t="shared" si="42"/>
        <v>-0.15073122951504</v>
      </c>
      <c r="CI22" s="739">
        <v>27131.1773788574</v>
      </c>
      <c r="CJ22" s="721">
        <f t="shared" si="43"/>
        <v>-0.183544708359514</v>
      </c>
      <c r="CK22" s="702">
        <v>31570.20300338</v>
      </c>
      <c r="CL22" s="721">
        <f t="shared" si="44"/>
        <v>-0.0926486044402762</v>
      </c>
      <c r="CM22" s="41">
        <v>34909.1842071618</v>
      </c>
      <c r="CN22" s="721">
        <f t="shared" si="45"/>
        <v>-0.0867063661545547</v>
      </c>
      <c r="CO22" s="41">
        <v>32022.8106578515</v>
      </c>
      <c r="CP22" s="721">
        <f t="shared" si="46"/>
        <v>-0.141610134462762</v>
      </c>
      <c r="CQ22" s="41">
        <v>32120.6684307582</v>
      </c>
      <c r="CR22" s="721">
        <f t="shared" si="47"/>
        <v>-0.16648462551102</v>
      </c>
      <c r="CS22" s="41">
        <v>36173.8483005169</v>
      </c>
      <c r="CT22" s="721">
        <f t="shared" si="48"/>
        <v>-0.125020671634366</v>
      </c>
      <c r="CU22" s="41">
        <v>32513.2808996563</v>
      </c>
      <c r="CV22" s="721">
        <f t="shared" si="49"/>
        <v>-0.213563111997184</v>
      </c>
      <c r="CW22" s="41">
        <f t="shared" si="50"/>
        <v>366513.315398771</v>
      </c>
      <c r="CX22" s="721">
        <f t="shared" si="51"/>
        <v>-0.113796920727415</v>
      </c>
      <c r="CY22" s="721"/>
      <c r="CZ22" s="721">
        <f t="shared" si="52"/>
        <v>-0.101193751089189</v>
      </c>
      <c r="DA22" s="721">
        <f t="shared" si="53"/>
        <v>0.126186037457348</v>
      </c>
      <c r="DB22" s="721"/>
      <c r="DC22" s="721"/>
      <c r="DD22" s="721"/>
      <c r="DE22" s="721"/>
      <c r="DF22" s="721"/>
      <c r="DG22" s="721"/>
      <c r="DH22" s="721"/>
      <c r="DI22" s="721"/>
      <c r="DJ22" s="721"/>
      <c r="DK22" s="721"/>
      <c r="DL22" s="21"/>
      <c r="DM22" s="727">
        <v>29752.5898727246</v>
      </c>
      <c r="DN22" s="727">
        <v>22106.9110342053</v>
      </c>
      <c r="DO22" s="727">
        <v>34424.9870065085</v>
      </c>
      <c r="DP22" s="727">
        <v>34822.8903980949</v>
      </c>
      <c r="DQ22" s="727">
        <v>35504.1460427093</v>
      </c>
      <c r="DR22" s="727">
        <v>33230.4507750122</v>
      </c>
      <c r="DS22" s="727">
        <v>34793.8000182444</v>
      </c>
      <c r="DT22" s="727">
        <v>38223.3959741686</v>
      </c>
      <c r="DU22" s="727">
        <v>37305.6718671876</v>
      </c>
      <c r="DV22" s="727">
        <v>38536.3838674854</v>
      </c>
      <c r="DW22" s="727">
        <v>33533.373422169</v>
      </c>
      <c r="DX22" s="727">
        <v>41342.5176204856</v>
      </c>
      <c r="DY22" s="728">
        <v>0.0603912239142903</v>
      </c>
      <c r="DZ22" s="727">
        <f t="shared" si="65"/>
        <v>413577.117898995</v>
      </c>
      <c r="EA22" s="729">
        <f t="shared" si="66"/>
        <v>-0.0352712296173737</v>
      </c>
      <c r="EB22" s="741"/>
      <c r="EC22" s="50">
        <v>37063.6140501098</v>
      </c>
      <c r="ED22" s="50">
        <v>18640.6820314494</v>
      </c>
      <c r="EE22" s="50">
        <v>30989.1014084087</v>
      </c>
      <c r="EF22" s="50">
        <v>35413.6733129892</v>
      </c>
      <c r="EG22" s="50">
        <v>36349.0479740651</v>
      </c>
      <c r="EH22" s="50">
        <v>39843.3670115059</v>
      </c>
      <c r="EI22" s="50">
        <v>36457.9081622205</v>
      </c>
      <c r="EJ22" s="50">
        <v>41541.1963119331</v>
      </c>
      <c r="EK22" s="50">
        <v>37898.7463079361</v>
      </c>
      <c r="EL22" s="50">
        <v>34121.8264372703</v>
      </c>
      <c r="EM22" s="50">
        <v>41390.6685718329</v>
      </c>
      <c r="EN22" s="50">
        <v>38987.9854605693</v>
      </c>
      <c r="EO22" s="724">
        <f t="shared" si="68"/>
        <v>428697.81704029</v>
      </c>
      <c r="EP22" s="36"/>
      <c r="EQ22" s="740">
        <f>SUM(EC22:EN22)</f>
        <v>428697.81704029</v>
      </c>
    </row>
    <row r="23" s="206" customFormat="1" ht="27" customHeight="1" spans="1:147">
      <c r="A23" s="707" t="s">
        <v>95</v>
      </c>
      <c r="B23" s="707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127"/>
      <c r="R23" s="127"/>
      <c r="S23" s="35">
        <f t="shared" si="7"/>
        <v>2350.9061139689</v>
      </c>
      <c r="T23" s="36">
        <f t="shared" si="8"/>
        <v>-0.0671688039341619</v>
      </c>
      <c r="U23" s="36"/>
      <c r="V23" s="35">
        <v>275.335219765172</v>
      </c>
      <c r="W23" s="36">
        <f t="shared" si="9"/>
        <v>-0.0696928062335566</v>
      </c>
      <c r="X23" s="35">
        <v>259.681077287565</v>
      </c>
      <c r="Y23" s="36">
        <f t="shared" si="10"/>
        <v>0.667591883649299</v>
      </c>
      <c r="Z23" s="35">
        <v>351.65252493058</v>
      </c>
      <c r="AA23" s="36">
        <f t="shared" si="11"/>
        <v>0.114447899665528</v>
      </c>
      <c r="AB23" s="35">
        <v>358.95195520846</v>
      </c>
      <c r="AC23" s="36">
        <f t="shared" si="12"/>
        <v>0.0984633363971616</v>
      </c>
      <c r="AD23" s="35">
        <v>344.787126088551</v>
      </c>
      <c r="AE23" s="36">
        <f t="shared" si="13"/>
        <v>0.0638944230953782</v>
      </c>
      <c r="AF23" s="35">
        <v>307.191023541835</v>
      </c>
      <c r="AG23" s="36">
        <f t="shared" si="14"/>
        <v>0.0454525035665383</v>
      </c>
      <c r="AH23" s="35">
        <v>311.141531413178</v>
      </c>
      <c r="AI23" s="36">
        <f t="shared" si="15"/>
        <v>0.0559660057311417</v>
      </c>
      <c r="AJ23" s="35">
        <v>311.443390550709</v>
      </c>
      <c r="AK23" s="36">
        <f t="shared" si="16"/>
        <v>0.0149455137977277</v>
      </c>
      <c r="AL23" s="35">
        <v>329.085002313275</v>
      </c>
      <c r="AM23" s="36">
        <f t="shared" si="17"/>
        <v>0.0563883304484873</v>
      </c>
      <c r="AN23" s="35">
        <v>311.416027075955</v>
      </c>
      <c r="AO23" s="36">
        <f t="shared" si="18"/>
        <v>0.00044958893836422</v>
      </c>
      <c r="AP23" s="35">
        <v>351.153136547011</v>
      </c>
      <c r="AQ23" s="36">
        <f t="shared" si="19"/>
        <v>0.0720262539465195</v>
      </c>
      <c r="AR23" s="35">
        <v>366.17130000511</v>
      </c>
      <c r="AS23" s="36">
        <f t="shared" si="20"/>
        <v>0.0481080980179349</v>
      </c>
      <c r="AT23" s="35">
        <f t="shared" si="21"/>
        <v>3878.0093147274</v>
      </c>
      <c r="AU23" s="36">
        <f t="shared" si="22"/>
        <v>0.0733062681217305</v>
      </c>
      <c r="AV23" s="36"/>
      <c r="AW23" s="35">
        <f t="shared" si="23"/>
        <v>3263.77920614498</v>
      </c>
      <c r="AX23" s="35">
        <v>295.961615270811</v>
      </c>
      <c r="AY23" s="36">
        <f t="shared" si="24"/>
        <v>0.703411309838399</v>
      </c>
      <c r="AZ23" s="35">
        <v>155.722200277977</v>
      </c>
      <c r="BA23" s="36">
        <f t="shared" si="25"/>
        <v>-0.379084443484055</v>
      </c>
      <c r="BB23" s="35">
        <v>315.539672187564</v>
      </c>
      <c r="BC23" s="36">
        <f t="shared" si="26"/>
        <v>0.0162427188984382</v>
      </c>
      <c r="BD23" s="35">
        <v>326.776455175812</v>
      </c>
      <c r="BE23" s="36">
        <f t="shared" si="27"/>
        <v>0.0999743340736874</v>
      </c>
      <c r="BF23" s="35">
        <v>324.080208152046</v>
      </c>
      <c r="BG23" s="36">
        <f t="shared" si="28"/>
        <v>0.0565704719109088</v>
      </c>
      <c r="BH23" s="35">
        <v>293.83546597656</v>
      </c>
      <c r="BI23" s="36">
        <f t="shared" si="29"/>
        <v>0.00776798321040983</v>
      </c>
      <c r="BJ23" s="35">
        <v>294.651086990008</v>
      </c>
      <c r="BK23" s="36">
        <f t="shared" si="30"/>
        <v>0.00643058520671969</v>
      </c>
      <c r="BL23" s="35">
        <v>306.857251267951</v>
      </c>
      <c r="BM23" s="36">
        <f t="shared" si="31"/>
        <v>0.0327847584505294</v>
      </c>
      <c r="BN23" s="35">
        <v>311.518967815143</v>
      </c>
      <c r="BO23" s="36">
        <f t="shared" si="32"/>
        <v>0.0394701793067678</v>
      </c>
      <c r="BP23" s="35">
        <v>311.276080793253</v>
      </c>
      <c r="BQ23" s="36">
        <f t="shared" si="33"/>
        <v>0.0358082764493264</v>
      </c>
      <c r="BR23" s="35">
        <v>327.560202237854</v>
      </c>
      <c r="BS23" s="36">
        <f t="shared" si="34"/>
        <v>0.0143051497367908</v>
      </c>
      <c r="BT23" s="35">
        <v>349.364059582759</v>
      </c>
      <c r="BU23" s="36">
        <f t="shared" si="35"/>
        <v>0.126035207228261</v>
      </c>
      <c r="BV23" s="35">
        <f t="shared" si="36"/>
        <v>3613.14326572774</v>
      </c>
      <c r="BW23" s="36">
        <f t="shared" si="37"/>
        <v>0.04616483872003</v>
      </c>
      <c r="BX23" s="36"/>
      <c r="BY23" s="41">
        <v>173.74641906005</v>
      </c>
      <c r="BZ23" s="721">
        <f t="shared" si="38"/>
        <v>-0.116417595267564</v>
      </c>
      <c r="CA23" s="41">
        <v>250.794489917049</v>
      </c>
      <c r="CB23" s="721">
        <f t="shared" si="39"/>
        <v>0.454127703416435</v>
      </c>
      <c r="CC23" s="41">
        <v>310.496366979726</v>
      </c>
      <c r="CD23" s="721">
        <f t="shared" si="40"/>
        <v>0.155895086555123</v>
      </c>
      <c r="CE23" s="41">
        <v>297.07643628885</v>
      </c>
      <c r="CF23" s="721">
        <f t="shared" si="41"/>
        <v>0.24625706350505</v>
      </c>
      <c r="CG23" s="41">
        <v>306.728435790862</v>
      </c>
      <c r="CH23" s="721">
        <f t="shared" si="42"/>
        <v>0.217696266237587</v>
      </c>
      <c r="CI23" s="41">
        <v>291.570550833039</v>
      </c>
      <c r="CJ23" s="721">
        <f t="shared" si="43"/>
        <v>0.241703176405174</v>
      </c>
      <c r="CK23" s="702">
        <v>292.768414753102</v>
      </c>
      <c r="CL23" s="721">
        <f t="shared" si="44"/>
        <v>0.196549630502244</v>
      </c>
      <c r="CM23" s="41">
        <v>297.116363072906</v>
      </c>
      <c r="CN23" s="721">
        <f t="shared" si="45"/>
        <v>0.256288080568309</v>
      </c>
      <c r="CO23" s="41">
        <v>299.690144091385</v>
      </c>
      <c r="CP23" s="721">
        <f t="shared" si="46"/>
        <v>0.108883200468625</v>
      </c>
      <c r="CQ23" s="41">
        <v>300.515151182499</v>
      </c>
      <c r="CR23" s="721">
        <f t="shared" si="47"/>
        <v>0.182311957352372</v>
      </c>
      <c r="CS23" s="41">
        <v>322.940490169901</v>
      </c>
      <c r="CT23" s="721">
        <f t="shared" si="48"/>
        <v>0.159697656631076</v>
      </c>
      <c r="CU23" s="41">
        <v>310.260334082022</v>
      </c>
      <c r="CV23" s="721">
        <f t="shared" si="49"/>
        <v>0.114162495360053</v>
      </c>
      <c r="CW23" s="41">
        <f t="shared" si="50"/>
        <v>3453.70359622139</v>
      </c>
      <c r="CX23" s="721">
        <f t="shared" si="51"/>
        <v>0.179935185146442</v>
      </c>
      <c r="CY23" s="721"/>
      <c r="CZ23" s="721">
        <f t="shared" si="52"/>
        <v>-0.0392646833514371</v>
      </c>
      <c r="DA23" s="721">
        <f t="shared" si="53"/>
        <v>0.0746229895536394</v>
      </c>
      <c r="DB23" s="721"/>
      <c r="DC23" s="721"/>
      <c r="DD23" s="721"/>
      <c r="DE23" s="721"/>
      <c r="DF23" s="721"/>
      <c r="DG23" s="721"/>
      <c r="DH23" s="721"/>
      <c r="DI23" s="721"/>
      <c r="DJ23" s="721"/>
      <c r="DK23" s="721"/>
      <c r="DL23" s="133"/>
      <c r="DM23" s="731">
        <v>196.63861359107</v>
      </c>
      <c r="DN23" s="731">
        <v>172.470746089091</v>
      </c>
      <c r="DO23" s="731">
        <v>268.619851915011</v>
      </c>
      <c r="DP23" s="731">
        <v>238.374926801485</v>
      </c>
      <c r="DQ23" s="731">
        <v>251.892400671134</v>
      </c>
      <c r="DR23" s="731">
        <v>234.815015676418</v>
      </c>
      <c r="DS23" s="731">
        <v>244.677201254255</v>
      </c>
      <c r="DT23" s="731">
        <v>236.503368668832</v>
      </c>
      <c r="DU23" s="731">
        <v>270.263039393809</v>
      </c>
      <c r="DV23" s="731">
        <v>254.175853769983</v>
      </c>
      <c r="DW23" s="731">
        <v>280.127657116183</v>
      </c>
      <c r="DX23" s="731">
        <v>278.469554821766</v>
      </c>
      <c r="DY23" s="732">
        <v>-0.0952509742697709</v>
      </c>
      <c r="DZ23" s="731">
        <f t="shared" si="65"/>
        <v>2927.02822976904</v>
      </c>
      <c r="EA23" s="733">
        <f t="shared" si="66"/>
        <v>-0.111681472481563</v>
      </c>
      <c r="EB23" s="734"/>
      <c r="EC23" s="50">
        <v>256.785653850356</v>
      </c>
      <c r="ED23" s="50">
        <v>137.967448814949</v>
      </c>
      <c r="EE23" s="50">
        <v>258.928940889951</v>
      </c>
      <c r="EF23" s="50">
        <v>305.168431281709</v>
      </c>
      <c r="EG23" s="50">
        <v>292.642033151469</v>
      </c>
      <c r="EH23" s="50">
        <v>306.466655056217</v>
      </c>
      <c r="EI23" s="50">
        <v>282.70761574142</v>
      </c>
      <c r="EJ23" s="50">
        <v>268.347290804536</v>
      </c>
      <c r="EK23" s="50">
        <v>289.720818235616</v>
      </c>
      <c r="EL23" s="50">
        <v>276.609062278345</v>
      </c>
      <c r="EM23" s="50">
        <v>311.890559390364</v>
      </c>
      <c r="EN23" s="50">
        <v>307.78652079455</v>
      </c>
      <c r="EO23" s="724">
        <f t="shared" si="68"/>
        <v>3295.02103028948</v>
      </c>
      <c r="EP23" s="36"/>
      <c r="EQ23" s="740">
        <f>SUM(EC23:EN23)</f>
        <v>3295.02103028948</v>
      </c>
    </row>
    <row r="24" s="206" customFormat="1" ht="27" customHeight="1" spans="1:147">
      <c r="A24" s="45"/>
      <c r="B24" s="707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127"/>
      <c r="R24" s="127"/>
      <c r="S24" s="35">
        <f t="shared" si="7"/>
        <v>84.3086</v>
      </c>
      <c r="T24" s="36">
        <f t="shared" si="8"/>
        <v>-0.170355077391185</v>
      </c>
      <c r="U24" s="36"/>
      <c r="V24" s="35">
        <v>12.4871</v>
      </c>
      <c r="W24" s="36">
        <f t="shared" si="9"/>
        <v>-0.0736778855069991</v>
      </c>
      <c r="X24" s="35">
        <v>12.6352</v>
      </c>
      <c r="Y24" s="36">
        <f t="shared" si="10"/>
        <v>0.0495398212446423</v>
      </c>
      <c r="Z24" s="35">
        <v>12.6382</v>
      </c>
      <c r="AA24" s="36">
        <f t="shared" si="11"/>
        <v>-0.0225752314367251</v>
      </c>
      <c r="AB24" s="35">
        <v>12.8778</v>
      </c>
      <c r="AC24" s="36">
        <f t="shared" si="12"/>
        <v>-0.133584062758607</v>
      </c>
      <c r="AD24" s="35">
        <v>12.9119</v>
      </c>
      <c r="AE24" s="36">
        <f t="shared" si="13"/>
        <v>-0.130353666996693</v>
      </c>
      <c r="AF24" s="35">
        <v>12.7781</v>
      </c>
      <c r="AG24" s="36">
        <f t="shared" si="14"/>
        <v>-0.139446550876508</v>
      </c>
      <c r="AH24" s="35">
        <v>12.6832</v>
      </c>
      <c r="AI24" s="36">
        <f t="shared" si="15"/>
        <v>-0.19412392619326</v>
      </c>
      <c r="AJ24" s="35">
        <v>12.6086</v>
      </c>
      <c r="AK24" s="36">
        <f t="shared" si="16"/>
        <v>-0.241578846061306</v>
      </c>
      <c r="AL24" s="35">
        <v>12.3113</v>
      </c>
      <c r="AM24" s="36">
        <f t="shared" si="17"/>
        <v>-0.296633796862324</v>
      </c>
      <c r="AN24" s="35">
        <v>11.9473</v>
      </c>
      <c r="AO24" s="36">
        <f t="shared" si="18"/>
        <v>-0.321619396417114</v>
      </c>
      <c r="AP24" s="35">
        <v>12.675</v>
      </c>
      <c r="AQ24" s="36">
        <f t="shared" si="19"/>
        <v>-0.271346528620129</v>
      </c>
      <c r="AR24" s="35">
        <v>13.0982</v>
      </c>
      <c r="AS24" s="36">
        <f t="shared" si="20"/>
        <v>-0.293345202449354</v>
      </c>
      <c r="AT24" s="35">
        <f t="shared" si="21"/>
        <v>151.6519</v>
      </c>
      <c r="AU24" s="36">
        <f t="shared" si="22"/>
        <v>-0.186491911690552</v>
      </c>
      <c r="AV24" s="36"/>
      <c r="AW24" s="35">
        <f t="shared" si="23"/>
        <v>167.8817</v>
      </c>
      <c r="AX24" s="35">
        <v>13.4803</v>
      </c>
      <c r="AY24" s="36">
        <f t="shared" si="24"/>
        <v>0.24263011375159</v>
      </c>
      <c r="AZ24" s="35">
        <v>12.0388</v>
      </c>
      <c r="BA24" s="36">
        <f t="shared" si="25"/>
        <v>-0.126711931290622</v>
      </c>
      <c r="BB24" s="35">
        <v>12.9301</v>
      </c>
      <c r="BC24" s="36">
        <f t="shared" si="26"/>
        <v>-0.185797855258269</v>
      </c>
      <c r="BD24" s="35">
        <v>14.8633</v>
      </c>
      <c r="BE24" s="36">
        <f t="shared" si="27"/>
        <v>-0.16096236458986</v>
      </c>
      <c r="BF24" s="35">
        <v>14.8473</v>
      </c>
      <c r="BG24" s="36">
        <f t="shared" si="28"/>
        <v>-0.11445578332727</v>
      </c>
      <c r="BH24" s="35">
        <v>14.8487</v>
      </c>
      <c r="BI24" s="36">
        <f t="shared" si="29"/>
        <v>-0.0896567368233903</v>
      </c>
      <c r="BJ24" s="35">
        <v>15.7384</v>
      </c>
      <c r="BK24" s="36">
        <f t="shared" si="30"/>
        <v>0.233107684593206</v>
      </c>
      <c r="BL24" s="35">
        <v>16.6248</v>
      </c>
      <c r="BM24" s="36">
        <f t="shared" si="31"/>
        <v>-0.0221798740140807</v>
      </c>
      <c r="BN24" s="35">
        <v>17.5034</v>
      </c>
      <c r="BO24" s="36">
        <f t="shared" si="32"/>
        <v>0.0840502158389227</v>
      </c>
      <c r="BP24" s="35">
        <v>17.6115</v>
      </c>
      <c r="BQ24" s="36">
        <f t="shared" si="33"/>
        <v>-0.0700148911677422</v>
      </c>
      <c r="BR24" s="35">
        <v>17.3951</v>
      </c>
      <c r="BS24" s="36">
        <f t="shared" si="34"/>
        <v>0.00994554047306617</v>
      </c>
      <c r="BT24" s="35">
        <v>18.5355</v>
      </c>
      <c r="BU24" s="36">
        <f t="shared" si="35"/>
        <v>0.00149666627043721</v>
      </c>
      <c r="BV24" s="35">
        <f t="shared" si="36"/>
        <v>186.4172</v>
      </c>
      <c r="BW24" s="36">
        <f t="shared" si="37"/>
        <v>-0.0285053182341689</v>
      </c>
      <c r="BX24" s="36"/>
      <c r="BY24" s="41">
        <v>10.8482</v>
      </c>
      <c r="BZ24" s="721">
        <f t="shared" si="38"/>
        <v>0.29834597984537</v>
      </c>
      <c r="CA24" s="41">
        <v>13.7856</v>
      </c>
      <c r="CB24" s="721">
        <f t="shared" si="39"/>
        <v>0.921873693015475</v>
      </c>
      <c r="CC24" s="41">
        <v>15.8807</v>
      </c>
      <c r="CD24" s="721">
        <f t="shared" si="40"/>
        <v>0.978114645873297</v>
      </c>
      <c r="CE24" s="41">
        <v>17.7147</v>
      </c>
      <c r="CF24" s="721">
        <f t="shared" si="41"/>
        <v>1.10073998529516</v>
      </c>
      <c r="CG24" s="41">
        <v>16.7663</v>
      </c>
      <c r="CH24" s="721">
        <f t="shared" si="42"/>
        <v>0.958588383720387</v>
      </c>
      <c r="CI24" s="41">
        <v>16.3111</v>
      </c>
      <c r="CJ24" s="721">
        <f t="shared" si="43"/>
        <v>1.00266430930544</v>
      </c>
      <c r="CK24" s="702">
        <v>12.7632</v>
      </c>
      <c r="CL24" s="721">
        <f t="shared" si="44"/>
        <v>0.631830618559337</v>
      </c>
      <c r="CM24" s="41">
        <v>17.0019</v>
      </c>
      <c r="CN24" s="721">
        <f t="shared" si="45"/>
        <v>1.21252147207329</v>
      </c>
      <c r="CO24" s="41">
        <v>16.1463</v>
      </c>
      <c r="CP24" s="721">
        <f t="shared" si="46"/>
        <v>0.983526203287389</v>
      </c>
      <c r="CQ24" s="41">
        <v>18.9374</v>
      </c>
      <c r="CR24" s="721">
        <f t="shared" si="47"/>
        <v>1.33529817984511</v>
      </c>
      <c r="CS24" s="41">
        <v>17.2238</v>
      </c>
      <c r="CT24" s="721">
        <f t="shared" si="48"/>
        <v>1.39392338911436</v>
      </c>
      <c r="CU24" s="41">
        <v>18.5078</v>
      </c>
      <c r="CV24" s="721">
        <f t="shared" si="49"/>
        <v>1.57238561183077</v>
      </c>
      <c r="CW24" s="41">
        <f t="shared" si="50"/>
        <v>191.887</v>
      </c>
      <c r="CX24" s="721">
        <f t="shared" si="51"/>
        <v>1.02548120312657</v>
      </c>
      <c r="CY24" s="721"/>
      <c r="CZ24" s="721">
        <f t="shared" si="52"/>
        <v>0.0745480091501294</v>
      </c>
      <c r="DA24" s="721">
        <f t="shared" si="53"/>
        <v>-0.090487606535216</v>
      </c>
      <c r="DB24" s="721"/>
      <c r="DC24" s="721"/>
      <c r="DD24" s="721"/>
      <c r="DE24" s="721"/>
      <c r="DF24" s="721"/>
      <c r="DG24" s="721"/>
      <c r="DH24" s="721"/>
      <c r="DI24" s="721"/>
      <c r="DJ24" s="721"/>
      <c r="DK24" s="721"/>
      <c r="DL24" s="735" t="s">
        <v>95</v>
      </c>
      <c r="DM24" s="731">
        <v>8.3554</v>
      </c>
      <c r="DN24" s="731">
        <v>7.173</v>
      </c>
      <c r="DO24" s="731">
        <v>8.0282</v>
      </c>
      <c r="DP24" s="731">
        <v>8.4326</v>
      </c>
      <c r="DQ24" s="731">
        <v>8.5604</v>
      </c>
      <c r="DR24" s="731">
        <v>8.1447</v>
      </c>
      <c r="DS24" s="731">
        <v>7.8214</v>
      </c>
      <c r="DT24" s="731">
        <v>7.6844</v>
      </c>
      <c r="DU24" s="731">
        <v>8.1402</v>
      </c>
      <c r="DV24" s="731">
        <v>8.1092</v>
      </c>
      <c r="DW24" s="731">
        <v>7.0922</v>
      </c>
      <c r="DX24" s="731">
        <v>7.1948</v>
      </c>
      <c r="DY24" s="732">
        <v>-0.64883372461356</v>
      </c>
      <c r="DZ24" s="731">
        <f t="shared" si="65"/>
        <v>94.7365</v>
      </c>
      <c r="EA24" s="733">
        <f t="shared" si="66"/>
        <v>-0.489852652220717</v>
      </c>
      <c r="EB24" s="733"/>
      <c r="EC24" s="50">
        <v>7.7461</v>
      </c>
      <c r="ED24" s="50">
        <v>6.8842</v>
      </c>
      <c r="EE24" s="50">
        <v>15.74859</v>
      </c>
      <c r="EF24" s="50">
        <v>16.4857</v>
      </c>
      <c r="EG24" s="50">
        <v>17.6823</v>
      </c>
      <c r="EH24" s="50">
        <v>16.5942</v>
      </c>
      <c r="EI24" s="50">
        <v>16.5411</v>
      </c>
      <c r="EJ24" s="50">
        <v>16.6305</v>
      </c>
      <c r="EK24" s="50">
        <v>16.3572</v>
      </c>
      <c r="EL24" s="50">
        <v>16.8031</v>
      </c>
      <c r="EM24" s="50">
        <v>17.7429</v>
      </c>
      <c r="EN24" s="50">
        <v>20.4883</v>
      </c>
      <c r="EO24" s="724">
        <f t="shared" si="68"/>
        <v>185.70419</v>
      </c>
      <c r="EP24" s="36"/>
      <c r="EQ24" s="740">
        <f>SUM(EC24:EN24)</f>
        <v>185.70419</v>
      </c>
    </row>
    <row r="25" s="206" customFormat="1" ht="27" customHeight="1" spans="1:147">
      <c r="A25" s="45"/>
      <c r="B25" s="707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0.0242811898613533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127"/>
      <c r="R25" s="127"/>
      <c r="S25" s="35">
        <f t="shared" si="7"/>
        <v>2266.5975139689</v>
      </c>
      <c r="T25" s="36">
        <f t="shared" si="8"/>
        <v>-0.0628332558500591</v>
      </c>
      <c r="U25" s="36"/>
      <c r="V25" s="35">
        <v>262.848119765172</v>
      </c>
      <c r="W25" s="36">
        <f t="shared" si="9"/>
        <v>-0.0695026341364099</v>
      </c>
      <c r="X25" s="35">
        <v>247.045877287565</v>
      </c>
      <c r="Y25" s="36">
        <f t="shared" si="10"/>
        <v>0.719376607246333</v>
      </c>
      <c r="Z25" s="35">
        <v>339.01432493058</v>
      </c>
      <c r="AA25" s="36">
        <f t="shared" si="11"/>
        <v>0.120302713757024</v>
      </c>
      <c r="AB25" s="35">
        <v>346.07415520846</v>
      </c>
      <c r="AC25" s="36">
        <f t="shared" si="12"/>
        <v>0.109520869722192</v>
      </c>
      <c r="AD25" s="35">
        <v>331.875226088551</v>
      </c>
      <c r="AE25" s="36">
        <f t="shared" si="13"/>
        <v>0.0732209197003448</v>
      </c>
      <c r="AF25" s="35">
        <v>294.412923541835</v>
      </c>
      <c r="AG25" s="36">
        <f t="shared" si="14"/>
        <v>0.0552935101106951</v>
      </c>
      <c r="AH25" s="35">
        <v>298.458331413178</v>
      </c>
      <c r="AI25" s="36">
        <f t="shared" si="15"/>
        <v>0.070078004102661</v>
      </c>
      <c r="AJ25" s="35">
        <v>298.834790550709</v>
      </c>
      <c r="AK25" s="36">
        <f t="shared" si="16"/>
        <v>0.0296394811992133</v>
      </c>
      <c r="AL25" s="35">
        <v>316.773702313275</v>
      </c>
      <c r="AM25" s="36">
        <f t="shared" si="17"/>
        <v>0.0774045220368764</v>
      </c>
      <c r="AN25" s="35">
        <v>299.468727075955</v>
      </c>
      <c r="AO25" s="36">
        <f t="shared" si="18"/>
        <v>0.0197645431635769</v>
      </c>
      <c r="AP25" s="35">
        <v>338.478136547011</v>
      </c>
      <c r="AQ25" s="36">
        <f t="shared" si="19"/>
        <v>0.0912837521206522</v>
      </c>
      <c r="AR25" s="35">
        <v>353.07310000511</v>
      </c>
      <c r="AS25" s="36">
        <f t="shared" si="20"/>
        <v>0.0672388757802707</v>
      </c>
      <c r="AT25" s="35">
        <f t="shared" si="21"/>
        <v>3726.3574147274</v>
      </c>
      <c r="AU25" s="36">
        <f t="shared" si="22"/>
        <v>0.0874395394474083</v>
      </c>
      <c r="AV25" s="36"/>
      <c r="AW25" s="35">
        <f t="shared" si="23"/>
        <v>3095.89750614498</v>
      </c>
      <c r="AX25" s="35">
        <v>282.481315270811</v>
      </c>
      <c r="AY25" s="36">
        <f t="shared" si="24"/>
        <v>0.734097014078948</v>
      </c>
      <c r="AZ25" s="35">
        <v>143.683400277977</v>
      </c>
      <c r="BA25" s="36">
        <f t="shared" si="25"/>
        <v>-0.393763667142338</v>
      </c>
      <c r="BB25" s="35">
        <v>302.609572187564</v>
      </c>
      <c r="BC25" s="36">
        <f t="shared" si="26"/>
        <v>0.0271333337082449</v>
      </c>
      <c r="BD25" s="35">
        <v>311.913155175812</v>
      </c>
      <c r="BE25" s="36">
        <f t="shared" si="27"/>
        <v>0.116520677883048</v>
      </c>
      <c r="BF25" s="35">
        <v>309.232908152046</v>
      </c>
      <c r="BG25" s="36">
        <f t="shared" si="28"/>
        <v>0.0664596165586364</v>
      </c>
      <c r="BH25" s="35">
        <v>278.98676597656</v>
      </c>
      <c r="BI25" s="36">
        <f t="shared" si="29"/>
        <v>0.0135410977978803</v>
      </c>
      <c r="BJ25" s="35">
        <v>278.912686990008</v>
      </c>
      <c r="BK25" s="36">
        <f t="shared" si="30"/>
        <v>-0.00390181220038111</v>
      </c>
      <c r="BL25" s="35">
        <v>290.232451267951</v>
      </c>
      <c r="BM25" s="36">
        <f t="shared" si="31"/>
        <v>0.0361209060183785</v>
      </c>
      <c r="BN25" s="35">
        <v>294.015567815143</v>
      </c>
      <c r="BO25" s="36">
        <f t="shared" si="32"/>
        <v>0.0369315855095167</v>
      </c>
      <c r="BP25" s="35">
        <v>293.664580793253</v>
      </c>
      <c r="BQ25" s="36">
        <f t="shared" si="33"/>
        <v>0.0429253716246925</v>
      </c>
      <c r="BR25" s="35">
        <v>310.165102237854</v>
      </c>
      <c r="BS25" s="36">
        <f t="shared" si="34"/>
        <v>0.0145507661537247</v>
      </c>
      <c r="BT25" s="35">
        <v>330.828559582759</v>
      </c>
      <c r="BU25" s="36">
        <f t="shared" si="35"/>
        <v>0.133935513614944</v>
      </c>
      <c r="BV25" s="35">
        <f t="shared" si="36"/>
        <v>3426.72606572774</v>
      </c>
      <c r="BW25" s="36">
        <f t="shared" si="37"/>
        <v>0.0505575542467303</v>
      </c>
      <c r="BX25" s="36"/>
      <c r="BY25" s="41">
        <v>162.89821906005</v>
      </c>
      <c r="BZ25" s="721">
        <f t="shared" si="38"/>
        <v>-0.134823461140585</v>
      </c>
      <c r="CA25" s="41">
        <v>237.008889917049</v>
      </c>
      <c r="CB25" s="721">
        <f t="shared" si="39"/>
        <v>0.433830136977837</v>
      </c>
      <c r="CC25" s="41">
        <v>294.615666979726</v>
      </c>
      <c r="CD25" s="721">
        <f t="shared" si="40"/>
        <v>0.130564485909976</v>
      </c>
      <c r="CE25" s="41">
        <v>279.36173628885</v>
      </c>
      <c r="CF25" s="721">
        <f t="shared" si="41"/>
        <v>0.214920889836998</v>
      </c>
      <c r="CG25" s="41">
        <v>289.962135790862</v>
      </c>
      <c r="CH25" s="721">
        <f t="shared" si="42"/>
        <v>0.191631741781259</v>
      </c>
      <c r="CI25" s="41">
        <v>275.259450833039</v>
      </c>
      <c r="CJ25" s="721">
        <f t="shared" si="43"/>
        <v>0.214360380677213</v>
      </c>
      <c r="CK25" s="702">
        <v>280.005214753102</v>
      </c>
      <c r="CL25" s="721">
        <f t="shared" si="44"/>
        <v>0.182175877771843</v>
      </c>
      <c r="CM25" s="41">
        <v>280.114463072906</v>
      </c>
      <c r="CN25" s="721">
        <f t="shared" si="45"/>
        <v>0.224175009189529</v>
      </c>
      <c r="CO25" s="41">
        <v>283.543844091385</v>
      </c>
      <c r="CP25" s="721">
        <f t="shared" si="46"/>
        <v>0.08172124469243</v>
      </c>
      <c r="CQ25" s="41">
        <v>281.577751182499</v>
      </c>
      <c r="CR25" s="721">
        <f t="shared" si="47"/>
        <v>0.14431495234503</v>
      </c>
      <c r="CS25" s="41">
        <v>305.716690169901</v>
      </c>
      <c r="CT25" s="721">
        <f t="shared" si="48"/>
        <v>0.126963289933721</v>
      </c>
      <c r="CU25" s="41">
        <v>291.752534082022</v>
      </c>
      <c r="CV25" s="721">
        <f t="shared" si="49"/>
        <v>0.075487227971915</v>
      </c>
      <c r="CW25" s="41">
        <f t="shared" si="50"/>
        <v>3261.81659622139</v>
      </c>
      <c r="CX25" s="721">
        <f t="shared" si="51"/>
        <v>0.151652763003824</v>
      </c>
      <c r="CY25" s="721"/>
      <c r="CZ25" s="721">
        <f t="shared" si="52"/>
        <v>-0.0456767868320126</v>
      </c>
      <c r="DA25" s="721">
        <f t="shared" si="53"/>
        <v>0.0857274372212626</v>
      </c>
      <c r="DB25" s="721"/>
      <c r="DC25" s="721"/>
      <c r="DD25" s="721"/>
      <c r="DE25" s="721"/>
      <c r="DF25" s="721"/>
      <c r="DG25" s="721"/>
      <c r="DH25" s="721"/>
      <c r="DI25" s="721"/>
      <c r="DJ25" s="721"/>
      <c r="DK25" s="721"/>
      <c r="DL25" s="206"/>
      <c r="DM25" s="731">
        <v>188.28321359107</v>
      </c>
      <c r="DN25" s="731">
        <v>165.297746089091</v>
      </c>
      <c r="DO25" s="731">
        <v>260.591651915011</v>
      </c>
      <c r="DP25" s="731">
        <v>229.942326801485</v>
      </c>
      <c r="DQ25" s="731">
        <v>243.332000671134</v>
      </c>
      <c r="DR25" s="731">
        <v>226.670315676418</v>
      </c>
      <c r="DS25" s="731">
        <v>236.855801254255</v>
      </c>
      <c r="DT25" s="731">
        <v>228.818968668832</v>
      </c>
      <c r="DU25" s="731">
        <v>262.122839393809</v>
      </c>
      <c r="DV25" s="731">
        <v>246.066653769983</v>
      </c>
      <c r="DW25" s="731">
        <v>273.035457116183</v>
      </c>
      <c r="DX25" s="731">
        <v>271.274754821766</v>
      </c>
      <c r="DY25" s="732">
        <v>-0.0557729384068916</v>
      </c>
      <c r="DZ25" s="731">
        <f t="shared" si="65"/>
        <v>2832.29172976904</v>
      </c>
      <c r="EA25" s="733">
        <f t="shared" si="66"/>
        <v>-0.0890951693731713</v>
      </c>
      <c r="EB25" s="733"/>
      <c r="EC25" s="50">
        <v>249.039553850356</v>
      </c>
      <c r="ED25" s="50">
        <v>131.083248814949</v>
      </c>
      <c r="EE25" s="50">
        <v>243.180350889951</v>
      </c>
      <c r="EF25" s="50">
        <v>288.682731281709</v>
      </c>
      <c r="EG25" s="50">
        <v>274.959733151469</v>
      </c>
      <c r="EH25" s="50">
        <v>289.872455056217</v>
      </c>
      <c r="EI25" s="50">
        <v>266.16651574142</v>
      </c>
      <c r="EJ25" s="50">
        <v>251.716790804536</v>
      </c>
      <c r="EK25" s="50">
        <v>273.363618235616</v>
      </c>
      <c r="EL25" s="50">
        <v>259.805962278345</v>
      </c>
      <c r="EM25" s="50">
        <v>294.147659390364</v>
      </c>
      <c r="EN25" s="50">
        <v>287.29822079455</v>
      </c>
      <c r="EO25" s="724">
        <f t="shared" si="68"/>
        <v>3109.31684028948</v>
      </c>
      <c r="EP25" s="36"/>
      <c r="EQ25" s="740">
        <f>SUM(EC25:EN25)</f>
        <v>3109.31684028948</v>
      </c>
    </row>
    <row r="26" s="206" customFormat="1" ht="27" customHeight="1" spans="1:147">
      <c r="A26" s="45"/>
      <c r="B26" s="707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127"/>
      <c r="R26" s="127"/>
      <c r="S26" s="35">
        <f t="shared" si="7"/>
        <v>321351.574087879</v>
      </c>
      <c r="T26" s="36">
        <f t="shared" si="8"/>
        <v>-0.112033808357074</v>
      </c>
      <c r="U26" s="36"/>
      <c r="V26" s="35">
        <f>V27+V28</f>
        <v>40165.8405365215</v>
      </c>
      <c r="W26" s="36">
        <f t="shared" si="9"/>
        <v>-0.0550380365230564</v>
      </c>
      <c r="X26" s="35">
        <f>X27+X28</f>
        <v>38850.7378546133</v>
      </c>
      <c r="Y26" s="36">
        <f t="shared" si="10"/>
        <v>0.543877462450167</v>
      </c>
      <c r="Z26" s="35">
        <f>Z27+Z28</f>
        <v>50241.0599475897</v>
      </c>
      <c r="AA26" s="36">
        <f t="shared" si="11"/>
        <v>0.0934618287578404</v>
      </c>
      <c r="AB26" s="35">
        <f>AB27+AB28</f>
        <v>50035.1819114648</v>
      </c>
      <c r="AC26" s="36">
        <f t="shared" si="12"/>
        <v>0.106484562377262</v>
      </c>
      <c r="AD26" s="35">
        <f>AD27+AD28</f>
        <v>50309.3576500399</v>
      </c>
      <c r="AE26" s="36">
        <f t="shared" si="13"/>
        <v>0.104426501335465</v>
      </c>
      <c r="AF26" s="35">
        <f>AF27+AF28</f>
        <v>44373.0968788825</v>
      </c>
      <c r="AG26" s="36">
        <f t="shared" si="14"/>
        <v>0.0886529870851218</v>
      </c>
      <c r="AH26" s="35">
        <f>AH27+AH28</f>
        <v>43680.5710953391</v>
      </c>
      <c r="AI26" s="36">
        <f t="shared" si="15"/>
        <v>0.0584720896165649</v>
      </c>
      <c r="AJ26" s="35">
        <f>AJ27+AJ28</f>
        <v>44240.3356606932</v>
      </c>
      <c r="AK26" s="36">
        <f t="shared" si="16"/>
        <v>0.0271762831234255</v>
      </c>
      <c r="AL26" s="35">
        <f>AL27+AL28</f>
        <v>46706.027019491</v>
      </c>
      <c r="AM26" s="36">
        <f t="shared" si="17"/>
        <v>0.0540620043590316</v>
      </c>
      <c r="AN26" s="35">
        <f>AN27+AN28</f>
        <v>43773.1345958988</v>
      </c>
      <c r="AO26" s="36">
        <f t="shared" si="18"/>
        <v>-0.0168691942839789</v>
      </c>
      <c r="AP26" s="35">
        <f>AP27+AP28</f>
        <v>46747.957989812</v>
      </c>
      <c r="AQ26" s="36">
        <f t="shared" si="19"/>
        <v>0.00771086656498343</v>
      </c>
      <c r="AR26" s="35">
        <f>AR27+AR28</f>
        <v>48759.5013476958</v>
      </c>
      <c r="AS26" s="36">
        <f t="shared" si="20"/>
        <v>-0.032430691681806</v>
      </c>
      <c r="AT26" s="35">
        <f t="shared" si="21"/>
        <v>547882.802488042</v>
      </c>
      <c r="AU26" s="36">
        <f t="shared" si="22"/>
        <v>0.0636338529469769</v>
      </c>
      <c r="AV26" s="36"/>
      <c r="AW26" s="35">
        <f t="shared" si="23"/>
        <v>464710.89803416</v>
      </c>
      <c r="AX26" s="35">
        <f>AX27+AX28</f>
        <v>42505.2458077076</v>
      </c>
      <c r="AY26" s="36">
        <f t="shared" si="24"/>
        <v>0.431572016502267</v>
      </c>
      <c r="AZ26" s="35">
        <f>AZ27+AZ28</f>
        <v>25164.3921227766</v>
      </c>
      <c r="BA26" s="36">
        <f t="shared" si="25"/>
        <v>-0.329971976349881</v>
      </c>
      <c r="BB26" s="35">
        <f>BB27+BB28</f>
        <v>45946.7890202102</v>
      </c>
      <c r="BC26" s="36">
        <f t="shared" si="26"/>
        <v>0.0300836878484843</v>
      </c>
      <c r="BD26" s="35">
        <f>BD27+BD28</f>
        <v>45219.9548125327</v>
      </c>
      <c r="BE26" s="36">
        <f t="shared" si="27"/>
        <v>0.0489056097393474</v>
      </c>
      <c r="BF26" s="35">
        <f>BF27+BF28</f>
        <v>45552.4723367342</v>
      </c>
      <c r="BG26" s="36">
        <f t="shared" si="28"/>
        <v>0.0412575656434848</v>
      </c>
      <c r="BH26" s="35">
        <f>BH27+BH28</f>
        <v>40759.6336071165</v>
      </c>
      <c r="BI26" s="36">
        <f t="shared" si="29"/>
        <v>0.00205355904134485</v>
      </c>
      <c r="BJ26" s="35">
        <f>BJ27+BJ28</f>
        <v>41267.5700416083</v>
      </c>
      <c r="BK26" s="36">
        <f t="shared" si="30"/>
        <v>0.00315449862537487</v>
      </c>
      <c r="BL26" s="35">
        <f>BL27+BL28</f>
        <v>43069.8570319086</v>
      </c>
      <c r="BM26" s="36">
        <f t="shared" si="31"/>
        <v>0.0204419587003792</v>
      </c>
      <c r="BN26" s="35">
        <f>BN27+BN28</f>
        <v>44310.5119303609</v>
      </c>
      <c r="BO26" s="36">
        <f t="shared" si="32"/>
        <v>0.0213221072777914</v>
      </c>
      <c r="BP26" s="35">
        <f>BP27+BP28</f>
        <v>44524.2223531166</v>
      </c>
      <c r="BQ26" s="36">
        <f t="shared" si="33"/>
        <v>0.0353767644444896</v>
      </c>
      <c r="BR26" s="35">
        <f>BR27+BR28</f>
        <v>46390.2489700873</v>
      </c>
      <c r="BS26" s="36">
        <f t="shared" si="34"/>
        <v>-0.000417237709487317</v>
      </c>
      <c r="BT26" s="35">
        <f>BT27+BT28</f>
        <v>50393.8073774254</v>
      </c>
      <c r="BU26" s="36">
        <f t="shared" si="35"/>
        <v>0.0991738014223631</v>
      </c>
      <c r="BV26" s="35">
        <f t="shared" si="36"/>
        <v>515104.705411585</v>
      </c>
      <c r="BW26" s="36">
        <f t="shared" si="37"/>
        <v>0.0273769739377261</v>
      </c>
      <c r="BX26" s="36"/>
      <c r="BY26" s="41">
        <f>BY27+BY28</f>
        <v>29691.3080988827</v>
      </c>
      <c r="BZ26" s="721">
        <f t="shared" si="38"/>
        <v>-0.0794068737020774</v>
      </c>
      <c r="CA26" s="41">
        <f>CA27+CA28</f>
        <v>37557.2233317769</v>
      </c>
      <c r="CB26" s="721">
        <f t="shared" si="39"/>
        <v>0.442437512600446</v>
      </c>
      <c r="CC26" s="41">
        <f>SUM(CC27:CC28)</f>
        <v>44604.9088653936</v>
      </c>
      <c r="CD26" s="721">
        <f t="shared" si="40"/>
        <v>0.162987775423528</v>
      </c>
      <c r="CE26" s="41">
        <v>43111.5577919064</v>
      </c>
      <c r="CF26" s="721">
        <f t="shared" si="41"/>
        <v>0.192166202823737</v>
      </c>
      <c r="CG26" s="41">
        <v>43747.5547258889</v>
      </c>
      <c r="CH26" s="721">
        <f t="shared" si="42"/>
        <v>0.224916402127444</v>
      </c>
      <c r="CI26" s="41">
        <f>CI27+CI28</f>
        <v>40676.1028283866</v>
      </c>
      <c r="CJ26" s="721">
        <f t="shared" si="43"/>
        <v>0.233923213980347</v>
      </c>
      <c r="CK26" s="41">
        <f>CK27+CK28</f>
        <v>41137.8009052019</v>
      </c>
      <c r="CL26" s="721">
        <f t="shared" si="44"/>
        <v>0.178800262230963</v>
      </c>
      <c r="CM26" s="41">
        <v>42207.062013367</v>
      </c>
      <c r="CN26" s="721">
        <f t="shared" si="45"/>
        <v>0.237004124566766</v>
      </c>
      <c r="CO26" s="41">
        <f>SUM(CO27:CO28)</f>
        <v>43385.4428633344</v>
      </c>
      <c r="CP26" s="721">
        <f t="shared" si="46"/>
        <v>0.0996485364851369</v>
      </c>
      <c r="CQ26" s="41">
        <f>SUM(CQ27:CQ28)</f>
        <v>43002.9182439739</v>
      </c>
      <c r="CR26" s="721">
        <f t="shared" si="47"/>
        <v>0.0990033490420954</v>
      </c>
      <c r="CS26" s="41">
        <f>CS27+CS28</f>
        <v>46409.6128106346</v>
      </c>
      <c r="CT26" s="721">
        <f t="shared" si="48"/>
        <v>0.112357089363705</v>
      </c>
      <c r="CU26" s="41">
        <f>CU27+CU28</f>
        <v>45846.9873574264</v>
      </c>
      <c r="CV26" s="721">
        <f t="shared" si="49"/>
        <v>0.0988719432133545</v>
      </c>
      <c r="CW26" s="41">
        <f t="shared" si="50"/>
        <v>501378.479836173</v>
      </c>
      <c r="CX26" s="721">
        <f t="shared" si="51"/>
        <v>0.155516567178184</v>
      </c>
      <c r="CY26" s="721"/>
      <c r="CZ26" s="721">
        <f t="shared" si="52"/>
        <v>-0.0121230369989054</v>
      </c>
      <c r="DA26" s="721">
        <f t="shared" si="53"/>
        <v>0.0792200786777557</v>
      </c>
      <c r="DB26" s="721"/>
      <c r="DC26" s="721"/>
      <c r="DD26" s="721"/>
      <c r="DE26" s="721"/>
      <c r="DF26" s="721"/>
      <c r="DG26" s="721"/>
      <c r="DH26" s="721"/>
      <c r="DI26" s="721"/>
      <c r="DJ26" s="721"/>
      <c r="DK26" s="721"/>
      <c r="DL26" s="206"/>
      <c r="DM26" s="41">
        <v>32252.3677949709</v>
      </c>
      <c r="DN26" s="41">
        <v>26037.3312560821</v>
      </c>
      <c r="DO26" s="41">
        <v>38353.7211723053</v>
      </c>
      <c r="DP26" s="41">
        <v>36162.3720667415</v>
      </c>
      <c r="DQ26" s="41">
        <v>35714.7268580189</v>
      </c>
      <c r="DR26" s="41">
        <v>32964.8574299652</v>
      </c>
      <c r="DS26" s="41">
        <v>34898.0249014754</v>
      </c>
      <c r="DT26" s="41">
        <v>34120.3890715798</v>
      </c>
      <c r="DU26" s="41">
        <v>39453.9177053875</v>
      </c>
      <c r="DV26" s="41">
        <v>39129.0147399967</v>
      </c>
      <c r="DW26" s="41">
        <v>43091.274248541</v>
      </c>
      <c r="DX26" s="41">
        <v>41721.8654462678</v>
      </c>
      <c r="DY26" s="721">
        <v>0.0264916888316449</v>
      </c>
      <c r="DZ26" s="41">
        <f t="shared" si="65"/>
        <v>433899.862691332</v>
      </c>
      <c r="EA26" s="36">
        <f t="shared" si="66"/>
        <v>-0.0463146548433669</v>
      </c>
      <c r="EB26" s="36"/>
      <c r="EC26" s="737">
        <f t="shared" ref="EC26:EN26" si="81">EC27+EC28</f>
        <v>40261.6127390385</v>
      </c>
      <c r="ED26" s="737">
        <f t="shared" si="81"/>
        <v>24472.8640556584</v>
      </c>
      <c r="EE26" s="737">
        <f t="shared" si="81"/>
        <v>37230.5131203178</v>
      </c>
      <c r="EF26" s="737">
        <f t="shared" si="81"/>
        <v>41803.432887924</v>
      </c>
      <c r="EG26" s="737">
        <f t="shared" si="81"/>
        <v>38779.6478083899</v>
      </c>
      <c r="EH26" s="737">
        <f t="shared" si="81"/>
        <v>39027.9032136075</v>
      </c>
      <c r="EI26" s="737">
        <f t="shared" si="81"/>
        <v>36547.2759324459</v>
      </c>
      <c r="EJ26" s="737">
        <f t="shared" si="81"/>
        <v>37668.8523602519</v>
      </c>
      <c r="EK26" s="737">
        <f t="shared" si="81"/>
        <v>40072.0814185714</v>
      </c>
      <c r="EL26" s="737">
        <f t="shared" si="81"/>
        <v>36545.9094678099</v>
      </c>
      <c r="EM26" s="50">
        <f t="shared" si="81"/>
        <v>41916.5200093217</v>
      </c>
      <c r="EN26" s="50">
        <f t="shared" si="81"/>
        <v>40645.1078953749</v>
      </c>
      <c r="EO26" s="724">
        <f t="shared" si="68"/>
        <v>454971.720908712</v>
      </c>
      <c r="EP26" s="36"/>
      <c r="EQ26" s="738"/>
    </row>
    <row r="27" s="206" customFormat="1" ht="27" customHeight="1" spans="1:147">
      <c r="A27" s="45"/>
      <c r="B27" s="707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127"/>
      <c r="R27" s="127"/>
      <c r="S27" s="35">
        <f t="shared" si="7"/>
        <v>27053.7853</v>
      </c>
      <c r="T27" s="36">
        <f t="shared" si="8"/>
        <v>-0.186985375336361</v>
      </c>
      <c r="U27" s="36"/>
      <c r="V27" s="35">
        <v>4263.2816</v>
      </c>
      <c r="W27" s="36">
        <f t="shared" si="9"/>
        <v>-0.0726132615070477</v>
      </c>
      <c r="X27" s="35">
        <v>4129.6335</v>
      </c>
      <c r="Y27" s="36">
        <f t="shared" si="10"/>
        <v>0.0435131813981438</v>
      </c>
      <c r="Z27" s="35">
        <v>4237.3927</v>
      </c>
      <c r="AA27" s="36">
        <f t="shared" si="11"/>
        <v>-0.129769242023473</v>
      </c>
      <c r="AB27" s="35">
        <v>4027.0375</v>
      </c>
      <c r="AC27" s="36">
        <f t="shared" si="12"/>
        <v>-0.191849021383833</v>
      </c>
      <c r="AD27" s="35">
        <v>4336.3028</v>
      </c>
      <c r="AE27" s="36">
        <f t="shared" si="13"/>
        <v>-0.0856840218963386</v>
      </c>
      <c r="AF27" s="35">
        <v>4011.8682</v>
      </c>
      <c r="AG27" s="36">
        <f t="shared" si="14"/>
        <v>-0.157508286279017</v>
      </c>
      <c r="AH27" s="35">
        <v>4165.4802</v>
      </c>
      <c r="AI27" s="36">
        <f t="shared" si="15"/>
        <v>-0.0739557709569941</v>
      </c>
      <c r="AJ27" s="35">
        <v>4104.8936</v>
      </c>
      <c r="AK27" s="36">
        <f t="shared" si="16"/>
        <v>-0.140117099186408</v>
      </c>
      <c r="AL27" s="35">
        <v>4157.138</v>
      </c>
      <c r="AM27" s="36">
        <f t="shared" si="17"/>
        <v>-0.168127214960358</v>
      </c>
      <c r="AN27" s="35">
        <v>4213.3321</v>
      </c>
      <c r="AO27" s="36">
        <f t="shared" si="18"/>
        <v>-0.168323552183791</v>
      </c>
      <c r="AP27" s="35">
        <v>4146.2456</v>
      </c>
      <c r="AQ27" s="36">
        <f t="shared" si="19"/>
        <v>-0.202193518454522</v>
      </c>
      <c r="AR27" s="35">
        <v>4367.2385</v>
      </c>
      <c r="AS27" s="36">
        <f t="shared" si="20"/>
        <v>-0.247760137364209</v>
      </c>
      <c r="AT27" s="35">
        <f t="shared" si="21"/>
        <v>50159.8443</v>
      </c>
      <c r="AU27" s="36">
        <f t="shared" si="22"/>
        <v>-0.13887839923013</v>
      </c>
      <c r="AV27" s="36"/>
      <c r="AW27" s="35">
        <f t="shared" si="23"/>
        <v>52443.786</v>
      </c>
      <c r="AX27" s="35">
        <v>4597.0914</v>
      </c>
      <c r="AY27" s="36">
        <f t="shared" si="24"/>
        <v>0.453314396678656</v>
      </c>
      <c r="AZ27" s="35">
        <v>3957.433</v>
      </c>
      <c r="BA27" s="36">
        <f t="shared" si="25"/>
        <v>0.0348622017444609</v>
      </c>
      <c r="BB27" s="35">
        <v>4869.2748</v>
      </c>
      <c r="BC27" s="36">
        <f t="shared" si="26"/>
        <v>0.173342865412903</v>
      </c>
      <c r="BD27" s="35">
        <v>4983.0262</v>
      </c>
      <c r="BE27" s="36">
        <f t="shared" si="27"/>
        <v>0.127976436983606</v>
      </c>
      <c r="BF27" s="35">
        <v>4742.6742</v>
      </c>
      <c r="BG27" s="36">
        <f t="shared" si="28"/>
        <v>0.119837079547612</v>
      </c>
      <c r="BH27" s="35">
        <v>4761.9082</v>
      </c>
      <c r="BI27" s="36">
        <f t="shared" si="29"/>
        <v>0.0991844249812364</v>
      </c>
      <c r="BJ27" s="35">
        <v>4498.1439</v>
      </c>
      <c r="BK27" s="36">
        <f t="shared" si="30"/>
        <v>0.330245781218181</v>
      </c>
      <c r="BL27" s="35">
        <v>4773.7821</v>
      </c>
      <c r="BM27" s="36">
        <f t="shared" si="31"/>
        <v>0.0813306002100469</v>
      </c>
      <c r="BN27" s="35">
        <v>4997.3242</v>
      </c>
      <c r="BO27" s="36">
        <f t="shared" si="32"/>
        <v>0.0866354768663422</v>
      </c>
      <c r="BP27" s="35">
        <v>5066.0712</v>
      </c>
      <c r="BQ27" s="36">
        <f t="shared" si="33"/>
        <v>-0.124904135510888</v>
      </c>
      <c r="BR27" s="35">
        <v>5197.0568</v>
      </c>
      <c r="BS27" s="36">
        <f t="shared" si="34"/>
        <v>0.00828755977074791</v>
      </c>
      <c r="BT27" s="35">
        <v>5805.6462</v>
      </c>
      <c r="BU27" s="36">
        <f t="shared" si="35"/>
        <v>0.0510597603716512</v>
      </c>
      <c r="BV27" s="35">
        <f t="shared" si="36"/>
        <v>58249.4322</v>
      </c>
      <c r="BW27" s="36">
        <f t="shared" si="37"/>
        <v>0.0993690200123936</v>
      </c>
      <c r="BX27" s="36"/>
      <c r="BY27" s="41">
        <v>3163.1775</v>
      </c>
      <c r="BZ27" s="721">
        <f t="shared" si="38"/>
        <v>0.875839833023448</v>
      </c>
      <c r="CA27" s="41">
        <v>3824.1159</v>
      </c>
      <c r="CB27" s="721">
        <f t="shared" si="39"/>
        <v>1.51417576751206</v>
      </c>
      <c r="CC27" s="41">
        <v>4149.9164</v>
      </c>
      <c r="CD27" s="721">
        <f t="shared" si="40"/>
        <v>1.41544233285908</v>
      </c>
      <c r="CE27" s="41">
        <v>4417.6687</v>
      </c>
      <c r="CF27" s="721">
        <f t="shared" si="41"/>
        <v>1.40288601834826</v>
      </c>
      <c r="CG27" s="41">
        <v>4235.1466</v>
      </c>
      <c r="CH27" s="721">
        <f t="shared" si="42"/>
        <v>1.19962229092262</v>
      </c>
      <c r="CI27" s="41">
        <v>4332.2195</v>
      </c>
      <c r="CJ27" s="721">
        <f t="shared" si="43"/>
        <v>1.26899458674233</v>
      </c>
      <c r="CK27" s="702">
        <v>3381.4382</v>
      </c>
      <c r="CL27" s="721">
        <f t="shared" si="44"/>
        <v>0.825661106293644</v>
      </c>
      <c r="CM27" s="41">
        <v>4414.7295</v>
      </c>
      <c r="CN27" s="721">
        <f t="shared" si="45"/>
        <v>1.43985472496731</v>
      </c>
      <c r="CO27" s="702">
        <v>4598.8966</v>
      </c>
      <c r="CP27" s="721">
        <f t="shared" si="46"/>
        <v>1.30806430404701</v>
      </c>
      <c r="CQ27" s="702">
        <v>5789.1614</v>
      </c>
      <c r="CR27" s="721">
        <f t="shared" si="47"/>
        <v>1.06167568213601</v>
      </c>
      <c r="CS27" s="50">
        <v>5154.3399</v>
      </c>
      <c r="CT27" s="721">
        <f t="shared" si="48"/>
        <v>1.41793116893821</v>
      </c>
      <c r="CU27" s="50">
        <v>5523.6119</v>
      </c>
      <c r="CV27" s="721">
        <f t="shared" si="49"/>
        <v>1.59115883648418</v>
      </c>
      <c r="CW27" s="41">
        <f t="shared" si="50"/>
        <v>52984.4221</v>
      </c>
      <c r="CX27" s="721">
        <f t="shared" si="51"/>
        <v>1.27571876301944</v>
      </c>
      <c r="CY27" s="721"/>
      <c r="CZ27" s="721">
        <f t="shared" si="52"/>
        <v>0.0716429275453876</v>
      </c>
      <c r="DA27" s="721">
        <f t="shared" si="53"/>
        <v>-0.10965690125689</v>
      </c>
      <c r="DB27" s="721"/>
      <c r="DC27" s="721"/>
      <c r="DD27" s="721"/>
      <c r="DE27" s="721"/>
      <c r="DF27" s="721"/>
      <c r="DG27" s="721"/>
      <c r="DH27" s="721"/>
      <c r="DI27" s="721"/>
      <c r="DJ27" s="721"/>
      <c r="DK27" s="721"/>
      <c r="DL27" s="206"/>
      <c r="DM27" s="41">
        <v>1686.2727</v>
      </c>
      <c r="DN27" s="41">
        <v>1521.0217</v>
      </c>
      <c r="DO27" s="41">
        <v>1718.0772</v>
      </c>
      <c r="DP27" s="41">
        <v>1838.4845</v>
      </c>
      <c r="DQ27" s="41">
        <v>1925.3972</v>
      </c>
      <c r="DR27" s="41">
        <v>1909.3124</v>
      </c>
      <c r="DS27" s="41">
        <v>1852.1719</v>
      </c>
      <c r="DT27" s="41">
        <v>1809.4231</v>
      </c>
      <c r="DU27" s="41">
        <v>1992.534</v>
      </c>
      <c r="DV27" s="41">
        <v>2807.9884</v>
      </c>
      <c r="DW27" s="41">
        <v>2090.102</v>
      </c>
      <c r="DX27" s="41">
        <v>2131.7149</v>
      </c>
      <c r="DY27" s="721">
        <v>0.234021724349943</v>
      </c>
      <c r="DZ27" s="41">
        <f t="shared" si="65"/>
        <v>23282.5</v>
      </c>
      <c r="EA27" s="36">
        <f t="shared" si="66"/>
        <v>0.0912674026907399</v>
      </c>
      <c r="EB27" s="36"/>
      <c r="EC27" s="50">
        <v>1486.3346</v>
      </c>
      <c r="ED27" s="50">
        <v>1524.0044</v>
      </c>
      <c r="EE27" s="50">
        <v>1860.79964</v>
      </c>
      <c r="EF27" s="50">
        <v>1868.9434</v>
      </c>
      <c r="EG27" s="50">
        <v>2211.0663</v>
      </c>
      <c r="EH27" s="50">
        <v>1870.4187</v>
      </c>
      <c r="EI27" s="50">
        <v>1736.8293</v>
      </c>
      <c r="EJ27" s="50">
        <v>1735.9292</v>
      </c>
      <c r="EK27" s="50">
        <v>1769.9264</v>
      </c>
      <c r="EL27" s="50">
        <v>1819.6756</v>
      </c>
      <c r="EM27" s="50">
        <v>1723.9032</v>
      </c>
      <c r="EN27" s="50">
        <v>1727.4533</v>
      </c>
      <c r="EO27" s="724">
        <f t="shared" si="68"/>
        <v>21335.28404</v>
      </c>
      <c r="EP27" s="36"/>
      <c r="EQ27" s="740">
        <f>SUM(EC27:EN27)</f>
        <v>21335.28404</v>
      </c>
    </row>
    <row r="28" s="206" customFormat="1" ht="27" customHeight="1" spans="1:147">
      <c r="A28" s="29"/>
      <c r="B28" s="707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127"/>
      <c r="R28" s="127"/>
      <c r="S28" s="35">
        <f t="shared" si="7"/>
        <v>294297.788787879</v>
      </c>
      <c r="T28" s="36">
        <f t="shared" si="8"/>
        <v>-0.104444258439954</v>
      </c>
      <c r="U28" s="36"/>
      <c r="V28" s="35">
        <v>35902.5589365215</v>
      </c>
      <c r="W28" s="36">
        <f t="shared" si="9"/>
        <v>-0.0529067031229122</v>
      </c>
      <c r="X28" s="35">
        <v>34721.1043546133</v>
      </c>
      <c r="Y28" s="36">
        <f t="shared" si="10"/>
        <v>0.637250496575075</v>
      </c>
      <c r="Z28" s="35">
        <v>46003.6672475897</v>
      </c>
      <c r="AA28" s="36">
        <f t="shared" si="11"/>
        <v>0.119923347867915</v>
      </c>
      <c r="AB28" s="35">
        <v>46008.1444114648</v>
      </c>
      <c r="AC28" s="36">
        <f t="shared" si="12"/>
        <v>0.143430823324187</v>
      </c>
      <c r="AD28" s="35">
        <v>45973.0548500399</v>
      </c>
      <c r="AE28" s="36">
        <f t="shared" si="13"/>
        <v>0.126520025803756</v>
      </c>
      <c r="AF28" s="35">
        <v>40361.2286788825</v>
      </c>
      <c r="AG28" s="36">
        <f t="shared" si="14"/>
        <v>0.121216083027939</v>
      </c>
      <c r="AH28" s="35">
        <v>39515.0908953391</v>
      </c>
      <c r="AI28" s="36">
        <f t="shared" si="15"/>
        <v>0.0746724940214336</v>
      </c>
      <c r="AJ28" s="35">
        <v>40135.4420606932</v>
      </c>
      <c r="AK28" s="36">
        <f t="shared" si="16"/>
        <v>0.0480301736419475</v>
      </c>
      <c r="AL28" s="35">
        <v>42548.889019491</v>
      </c>
      <c r="AM28" s="36">
        <f t="shared" si="17"/>
        <v>0.0823057471534221</v>
      </c>
      <c r="AN28" s="35">
        <v>39559.8024958988</v>
      </c>
      <c r="AO28" s="36">
        <f t="shared" si="18"/>
        <v>0.00257618108835711</v>
      </c>
      <c r="AP28" s="35">
        <v>42601.712389812</v>
      </c>
      <c r="AQ28" s="36">
        <f t="shared" si="19"/>
        <v>0.0341930339826275</v>
      </c>
      <c r="AR28" s="35">
        <v>44392.2628476958</v>
      </c>
      <c r="AS28" s="36">
        <f t="shared" si="20"/>
        <v>-0.0043935054632569</v>
      </c>
      <c r="AT28" s="35">
        <f t="shared" si="21"/>
        <v>497722.958188042</v>
      </c>
      <c r="AU28" s="36">
        <f t="shared" si="22"/>
        <v>0.0894543357005959</v>
      </c>
      <c r="AV28" s="36"/>
      <c r="AW28" s="35">
        <f t="shared" si="23"/>
        <v>412267.11203416</v>
      </c>
      <c r="AX28" s="35">
        <v>37908.1544077076</v>
      </c>
      <c r="AY28" s="36">
        <f t="shared" si="24"/>
        <v>0.428979485245153</v>
      </c>
      <c r="AZ28" s="35">
        <v>21206.9591227766</v>
      </c>
      <c r="BA28" s="36">
        <f t="shared" si="25"/>
        <v>-0.371330993871041</v>
      </c>
      <c r="BB28" s="35">
        <v>41077.5142202102</v>
      </c>
      <c r="BC28" s="36">
        <f t="shared" si="26"/>
        <v>0.0153880081759779</v>
      </c>
      <c r="BD28" s="35">
        <v>40236.9286125327</v>
      </c>
      <c r="BE28" s="36">
        <f t="shared" si="27"/>
        <v>0.0398781191769388</v>
      </c>
      <c r="BF28" s="35">
        <v>40809.7981367342</v>
      </c>
      <c r="BG28" s="36">
        <f t="shared" si="28"/>
        <v>0.0328350022785688</v>
      </c>
      <c r="BH28" s="35">
        <v>35997.7254071165</v>
      </c>
      <c r="BI28" s="36">
        <f t="shared" si="29"/>
        <v>-0.00952451663302933</v>
      </c>
      <c r="BJ28" s="35">
        <v>36769.4261416083</v>
      </c>
      <c r="BK28" s="36">
        <f t="shared" si="30"/>
        <v>-0.026139609138187</v>
      </c>
      <c r="BL28" s="35">
        <v>38296.0749319086</v>
      </c>
      <c r="BM28" s="36">
        <f t="shared" si="31"/>
        <v>0.013329222756056</v>
      </c>
      <c r="BN28" s="35">
        <v>39313.1877303609</v>
      </c>
      <c r="BO28" s="36">
        <f t="shared" si="32"/>
        <v>0.0135779417804041</v>
      </c>
      <c r="BP28" s="35">
        <v>39458.1511531166</v>
      </c>
      <c r="BQ28" s="36">
        <f t="shared" si="33"/>
        <v>0.060310876930614</v>
      </c>
      <c r="BR28" s="35">
        <v>41193.1921700873</v>
      </c>
      <c r="BS28" s="36">
        <f t="shared" si="34"/>
        <v>-0.00150479529445313</v>
      </c>
      <c r="BT28" s="35">
        <v>44588.1611774254</v>
      </c>
      <c r="BU28" s="36">
        <f t="shared" si="35"/>
        <v>0.105764601093521</v>
      </c>
      <c r="BV28" s="35">
        <f t="shared" si="36"/>
        <v>456855.273211585</v>
      </c>
      <c r="BW28" s="36">
        <f t="shared" si="37"/>
        <v>0.0188700437247769</v>
      </c>
      <c r="BX28" s="36"/>
      <c r="BY28" s="41">
        <v>26528.1305988827</v>
      </c>
      <c r="BZ28" s="721">
        <f t="shared" si="38"/>
        <v>-0.132105997954334</v>
      </c>
      <c r="CA28" s="41">
        <v>33733.1074317769</v>
      </c>
      <c r="CB28" s="721">
        <f t="shared" si="39"/>
        <v>0.375945566138777</v>
      </c>
      <c r="CC28" s="41">
        <v>40454.9924653936</v>
      </c>
      <c r="CD28" s="721">
        <f t="shared" si="40"/>
        <v>0.104252254879853</v>
      </c>
      <c r="CE28" s="41">
        <v>38693.8890919064</v>
      </c>
      <c r="CF28" s="721">
        <f t="shared" si="41"/>
        <v>0.127316625095791</v>
      </c>
      <c r="CG28" s="41">
        <v>39512.4081258889</v>
      </c>
      <c r="CH28" s="721">
        <f t="shared" si="42"/>
        <v>0.169375318356214</v>
      </c>
      <c r="CI28" s="41">
        <v>36343.8833283866</v>
      </c>
      <c r="CJ28" s="721">
        <f t="shared" si="43"/>
        <v>0.170286442994922</v>
      </c>
      <c r="CK28" s="702">
        <v>37756.3627052019</v>
      </c>
      <c r="CL28" s="721">
        <f t="shared" si="44"/>
        <v>0.1425446546505</v>
      </c>
      <c r="CM28" s="41">
        <v>37792.332513367</v>
      </c>
      <c r="CN28" s="721">
        <f t="shared" si="45"/>
        <v>0.169644155690316</v>
      </c>
      <c r="CO28" s="41">
        <v>38786.5462633344</v>
      </c>
      <c r="CP28" s="721">
        <f t="shared" si="46"/>
        <v>0.0353740953182229</v>
      </c>
      <c r="CQ28" s="41">
        <v>37213.7568439739</v>
      </c>
      <c r="CR28" s="721">
        <f t="shared" si="47"/>
        <v>0.0245788898039514</v>
      </c>
      <c r="CS28" s="41">
        <v>41255.2729106346</v>
      </c>
      <c r="CT28" s="721">
        <f t="shared" si="48"/>
        <v>0.0420590056211285</v>
      </c>
      <c r="CU28" s="41">
        <v>40323.3754574264</v>
      </c>
      <c r="CV28" s="721">
        <f t="shared" si="49"/>
        <v>0.0185203870417643</v>
      </c>
      <c r="CW28" s="41">
        <f t="shared" si="50"/>
        <v>448394.057736173</v>
      </c>
      <c r="CX28" s="721">
        <f t="shared" si="51"/>
        <v>0.0919997508075139</v>
      </c>
      <c r="CY28" s="721"/>
      <c r="CZ28" s="721">
        <f t="shared" si="52"/>
        <v>-0.0225885659568132</v>
      </c>
      <c r="DA28" s="721">
        <f t="shared" si="53"/>
        <v>0.108602742894397</v>
      </c>
      <c r="DB28" s="721"/>
      <c r="DC28" s="721"/>
      <c r="DD28" s="721"/>
      <c r="DE28" s="721"/>
      <c r="DF28" s="721"/>
      <c r="DG28" s="721"/>
      <c r="DH28" s="721"/>
      <c r="DI28" s="721"/>
      <c r="DJ28" s="721"/>
      <c r="DK28" s="721"/>
      <c r="DL28" s="21"/>
      <c r="DM28" s="727">
        <v>30566.0950949709</v>
      </c>
      <c r="DN28" s="727">
        <v>24516.3095560821</v>
      </c>
      <c r="DO28" s="727">
        <v>36635.6439723053</v>
      </c>
      <c r="DP28" s="727">
        <v>34323.8875667415</v>
      </c>
      <c r="DQ28" s="727">
        <v>33789.3296580189</v>
      </c>
      <c r="DR28" s="727">
        <v>31055.5450299652</v>
      </c>
      <c r="DS28" s="727">
        <v>33045.8530014754</v>
      </c>
      <c r="DT28" s="727">
        <v>32310.9659715798</v>
      </c>
      <c r="DU28" s="727">
        <v>37461.3837053875</v>
      </c>
      <c r="DV28" s="727">
        <v>36321.0263399967</v>
      </c>
      <c r="DW28" s="727">
        <v>41001.172248541</v>
      </c>
      <c r="DX28" s="727">
        <v>39590.1505462678</v>
      </c>
      <c r="DY28" s="728">
        <v>0.0172799712080498</v>
      </c>
      <c r="DZ28" s="727">
        <f t="shared" si="65"/>
        <v>410617.362691332</v>
      </c>
      <c r="EA28" s="729">
        <f t="shared" si="66"/>
        <v>-0.0530838098929147</v>
      </c>
      <c r="EB28" s="741"/>
      <c r="EC28" s="50">
        <v>38775.2781390385</v>
      </c>
      <c r="ED28" s="50">
        <v>22948.8596556584</v>
      </c>
      <c r="EE28" s="50">
        <v>35369.7134803178</v>
      </c>
      <c r="EF28" s="50">
        <v>39934.489487924</v>
      </c>
      <c r="EG28" s="50">
        <v>36568.5815083899</v>
      </c>
      <c r="EH28" s="50">
        <v>37157.4845136075</v>
      </c>
      <c r="EI28" s="50">
        <v>34810.4466324459</v>
      </c>
      <c r="EJ28" s="50">
        <v>35932.9231602519</v>
      </c>
      <c r="EK28" s="50">
        <v>38302.1550185714</v>
      </c>
      <c r="EL28" s="50">
        <v>34726.2338678099</v>
      </c>
      <c r="EM28" s="50">
        <v>40192.6168093217</v>
      </c>
      <c r="EN28" s="50">
        <v>38917.6545953749</v>
      </c>
      <c r="EO28" s="724">
        <f t="shared" si="68"/>
        <v>433636.436868712</v>
      </c>
      <c r="EP28" s="36"/>
      <c r="EQ28" s="740">
        <f>SUM(EC28:EN28)</f>
        <v>433636.436868712</v>
      </c>
    </row>
    <row r="29" s="206" customFormat="1" ht="27" customHeight="1" spans="1:147">
      <c r="A29" s="707" t="s">
        <v>96</v>
      </c>
      <c r="B29" s="707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127"/>
      <c r="R29" s="127"/>
      <c r="S29" s="35">
        <f t="shared" si="7"/>
        <v>8767.27112559578</v>
      </c>
      <c r="T29" s="36">
        <f t="shared" si="8"/>
        <v>-0.13459860018001</v>
      </c>
      <c r="U29" s="36"/>
      <c r="V29" s="35">
        <v>1015.24635200579</v>
      </c>
      <c r="W29" s="36">
        <f t="shared" si="9"/>
        <v>-0.0441796927699196</v>
      </c>
      <c r="X29" s="35">
        <v>986.261081682658</v>
      </c>
      <c r="Y29" s="36">
        <f t="shared" si="10"/>
        <v>0.654059051636245</v>
      </c>
      <c r="Z29" s="35">
        <v>1366.73016568805</v>
      </c>
      <c r="AA29" s="36">
        <f t="shared" si="11"/>
        <v>0.128281857797253</v>
      </c>
      <c r="AB29" s="35">
        <v>1415.68842295864</v>
      </c>
      <c r="AC29" s="36">
        <f t="shared" si="12"/>
        <v>0.0998108728333973</v>
      </c>
      <c r="AD29" s="35">
        <v>1426.26265734454</v>
      </c>
      <c r="AE29" s="36">
        <f t="shared" si="13"/>
        <v>0.0969182634805967</v>
      </c>
      <c r="AF29" s="35">
        <v>1293.37863257214</v>
      </c>
      <c r="AG29" s="36">
        <f t="shared" si="14"/>
        <v>0.0769677549004395</v>
      </c>
      <c r="AH29" s="35">
        <v>1273.37879167179</v>
      </c>
      <c r="AI29" s="36">
        <f t="shared" si="15"/>
        <v>0.0432804983882304</v>
      </c>
      <c r="AJ29" s="35">
        <v>1353.92626052998</v>
      </c>
      <c r="AK29" s="36">
        <f t="shared" si="16"/>
        <v>0.0242955083006495</v>
      </c>
      <c r="AL29" s="35">
        <v>1448.55990375901</v>
      </c>
      <c r="AM29" s="36">
        <f t="shared" si="17"/>
        <v>0.0719152408377479</v>
      </c>
      <c r="AN29" s="35">
        <v>1385.08700133771</v>
      </c>
      <c r="AO29" s="36">
        <f t="shared" si="18"/>
        <v>0.0177953039925471</v>
      </c>
      <c r="AP29" s="35">
        <v>1553.08517004397</v>
      </c>
      <c r="AQ29" s="36">
        <f t="shared" si="19"/>
        <v>0.0738806220645507</v>
      </c>
      <c r="AR29" s="35">
        <v>1476.8100328184</v>
      </c>
      <c r="AS29" s="36">
        <f t="shared" si="20"/>
        <v>0.0341933182955301</v>
      </c>
      <c r="AT29" s="35">
        <f t="shared" si="21"/>
        <v>15994.4144724127</v>
      </c>
      <c r="AU29" s="36">
        <f t="shared" si="22"/>
        <v>0.0816532605727762</v>
      </c>
      <c r="AV29" s="36"/>
      <c r="AW29" s="35">
        <f t="shared" si="23"/>
        <v>13359.0245561544</v>
      </c>
      <c r="AX29" s="35">
        <v>1062.17282090179</v>
      </c>
      <c r="AY29" s="36">
        <f t="shared" si="24"/>
        <v>0.775146200355989</v>
      </c>
      <c r="AZ29" s="35">
        <v>596.267153042099</v>
      </c>
      <c r="BA29" s="36">
        <f t="shared" si="25"/>
        <v>-0.288363537044602</v>
      </c>
      <c r="BB29" s="35">
        <v>1211.33753613332</v>
      </c>
      <c r="BC29" s="36">
        <f t="shared" si="26"/>
        <v>0.129617504531733</v>
      </c>
      <c r="BD29" s="35">
        <v>1287.21079044387</v>
      </c>
      <c r="BE29" s="36">
        <f t="shared" si="27"/>
        <v>0.185817562483854</v>
      </c>
      <c r="BF29" s="35">
        <v>1300.24515483853</v>
      </c>
      <c r="BG29" s="36">
        <f t="shared" si="28"/>
        <v>0.123833179663695</v>
      </c>
      <c r="BH29" s="35">
        <v>1200.94462131014</v>
      </c>
      <c r="BI29" s="36">
        <f t="shared" si="29"/>
        <v>0.0569174307852556</v>
      </c>
      <c r="BJ29" s="35">
        <v>1220.5526640621</v>
      </c>
      <c r="BK29" s="36">
        <f t="shared" si="30"/>
        <v>0.0717564473227521</v>
      </c>
      <c r="BL29" s="35">
        <v>1321.81216217203</v>
      </c>
      <c r="BM29" s="36">
        <f t="shared" si="31"/>
        <v>0.0391847585309291</v>
      </c>
      <c r="BN29" s="35">
        <v>1351.37541530513</v>
      </c>
      <c r="BO29" s="36">
        <f t="shared" si="32"/>
        <v>0.0863712858028385</v>
      </c>
      <c r="BP29" s="35">
        <v>1360.869907637</v>
      </c>
      <c r="BQ29" s="36">
        <f t="shared" si="33"/>
        <v>0.0818024832703339</v>
      </c>
      <c r="BR29" s="35">
        <v>1446.23633030843</v>
      </c>
      <c r="BS29" s="36">
        <f t="shared" si="34"/>
        <v>0.0402903485487598</v>
      </c>
      <c r="BT29" s="35">
        <v>1427.9825702726</v>
      </c>
      <c r="BU29" s="36">
        <f t="shared" si="35"/>
        <v>0.106738752587113</v>
      </c>
      <c r="BV29" s="35">
        <f t="shared" si="36"/>
        <v>14787.007126427</v>
      </c>
      <c r="BW29" s="36">
        <f t="shared" si="37"/>
        <v>0.0969164986697029</v>
      </c>
      <c r="BX29" s="36"/>
      <c r="BY29" s="50">
        <v>598.357938455312</v>
      </c>
      <c r="BZ29" s="721">
        <f t="shared" si="38"/>
        <v>-0.105729844333878</v>
      </c>
      <c r="CA29" s="50">
        <v>837.881677065598</v>
      </c>
      <c r="CB29" s="721">
        <f t="shared" si="39"/>
        <v>0.601539311659714</v>
      </c>
      <c r="CC29" s="41">
        <v>1072.34309956578</v>
      </c>
      <c r="CD29" s="721">
        <f t="shared" si="40"/>
        <v>0.275670220322069</v>
      </c>
      <c r="CE29" s="41">
        <v>1085.50491337608</v>
      </c>
      <c r="CF29" s="721">
        <f t="shared" si="41"/>
        <v>0.361219012434442</v>
      </c>
      <c r="CG29" s="41">
        <v>1156.97345332661</v>
      </c>
      <c r="CH29" s="721">
        <f t="shared" si="42"/>
        <v>0.320226451466364</v>
      </c>
      <c r="CI29" s="50">
        <v>1136.27099556668</v>
      </c>
      <c r="CJ29" s="721">
        <f t="shared" si="43"/>
        <v>0.389195467236299</v>
      </c>
      <c r="CK29" s="702">
        <v>1138.83398332806</v>
      </c>
      <c r="CL29" s="721">
        <f t="shared" si="44"/>
        <v>0.332781934484242</v>
      </c>
      <c r="CM29" s="41">
        <v>1271.97031261375</v>
      </c>
      <c r="CN29" s="721">
        <f t="shared" si="45"/>
        <v>0.382299139165337</v>
      </c>
      <c r="CO29" s="41">
        <v>1243.93513798227</v>
      </c>
      <c r="CP29" s="721">
        <f t="shared" si="46"/>
        <v>0.246296568217666</v>
      </c>
      <c r="CQ29" s="41">
        <v>1257.96522810988</v>
      </c>
      <c r="CR29" s="721">
        <f t="shared" si="47"/>
        <v>0.345536729995447</v>
      </c>
      <c r="CS29" s="41">
        <v>1390.22373160145</v>
      </c>
      <c r="CT29" s="721">
        <f t="shared" si="48"/>
        <v>0.354017197354186</v>
      </c>
      <c r="CU29" s="41">
        <v>1290.26165112096</v>
      </c>
      <c r="CV29" s="721">
        <f t="shared" si="49"/>
        <v>0.256658496752829</v>
      </c>
      <c r="CW29" s="41">
        <f t="shared" si="50"/>
        <v>13480.5221221124</v>
      </c>
      <c r="CX29" s="721">
        <f t="shared" si="51"/>
        <v>0.308301479137406</v>
      </c>
      <c r="CY29" s="721"/>
      <c r="CZ29" s="721">
        <f t="shared" si="52"/>
        <v>-0.0719035923558433</v>
      </c>
      <c r="DA29" s="721">
        <f t="shared" si="53"/>
        <v>0.105136851588729</v>
      </c>
      <c r="DB29" s="721"/>
      <c r="DC29" s="721"/>
      <c r="DD29" s="721"/>
      <c r="DE29" s="721"/>
      <c r="DF29" s="721"/>
      <c r="DG29" s="721"/>
      <c r="DH29" s="721"/>
      <c r="DI29" s="721"/>
      <c r="DJ29" s="721"/>
      <c r="DK29" s="721"/>
      <c r="DL29" s="222"/>
      <c r="DM29" s="742">
        <v>669.101987429748</v>
      </c>
      <c r="DN29" s="742">
        <v>523.172719499018</v>
      </c>
      <c r="DO29" s="731">
        <v>840.611533045778</v>
      </c>
      <c r="DP29" s="731">
        <v>797.450596458194</v>
      </c>
      <c r="DQ29" s="731">
        <v>876.344699836585</v>
      </c>
      <c r="DR29" s="731">
        <v>817.934568867552</v>
      </c>
      <c r="DS29" s="731">
        <v>854.478856489576</v>
      </c>
      <c r="DT29" s="731">
        <v>920.184550922743</v>
      </c>
      <c r="DU29" s="731">
        <v>998.10524212646</v>
      </c>
      <c r="DV29" s="731">
        <v>934.917048391638</v>
      </c>
      <c r="DW29" s="731">
        <v>1044.79276912366</v>
      </c>
      <c r="DX29" s="731">
        <v>1026.74008448195</v>
      </c>
      <c r="DY29" s="732">
        <v>0.0299630286877179</v>
      </c>
      <c r="DZ29" s="731">
        <f t="shared" si="65"/>
        <v>10303.8346566729</v>
      </c>
      <c r="EA29" s="733">
        <f t="shared" si="66"/>
        <v>-0.0505230110612984</v>
      </c>
      <c r="EB29" s="743"/>
      <c r="EC29" s="35">
        <v>905.361279044735</v>
      </c>
      <c r="ED29" s="35">
        <v>413.828704909473</v>
      </c>
      <c r="EE29" s="35">
        <v>724.511299669607</v>
      </c>
      <c r="EF29" s="35">
        <v>905.079017044255</v>
      </c>
      <c r="EG29" s="35">
        <v>944.524871147812</v>
      </c>
      <c r="EH29" s="35">
        <v>1000.20975011383</v>
      </c>
      <c r="EI29" s="35">
        <v>925.33341821588</v>
      </c>
      <c r="EJ29" s="35">
        <v>980.759494206032</v>
      </c>
      <c r="EK29" s="35">
        <v>1019.92063017864</v>
      </c>
      <c r="EL29" s="35">
        <v>946.322537366755</v>
      </c>
      <c r="EM29" s="35">
        <v>1089.3944282657</v>
      </c>
      <c r="EN29" s="35">
        <v>996.870815635126</v>
      </c>
      <c r="EO29" s="724">
        <f t="shared" si="68"/>
        <v>10852.1162457978</v>
      </c>
      <c r="EP29" s="36"/>
      <c r="EQ29" s="740">
        <f>SUM(EC29:EN29)</f>
        <v>10852.1162457978</v>
      </c>
    </row>
    <row r="30" ht="27" customHeight="1" spans="1:147">
      <c r="A30" s="45"/>
      <c r="B30" s="707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127"/>
      <c r="R30" s="127"/>
      <c r="S30" s="35">
        <f t="shared" si="7"/>
        <v>5163.4269</v>
      </c>
      <c r="T30" s="36">
        <f t="shared" si="8"/>
        <v>-0.103586052035522</v>
      </c>
      <c r="U30" s="36"/>
      <c r="V30" s="35">
        <v>571.1389</v>
      </c>
      <c r="W30" s="36">
        <f t="shared" si="9"/>
        <v>0.230872560458644</v>
      </c>
      <c r="X30" s="35">
        <v>611.8075</v>
      </c>
      <c r="Y30" s="36">
        <f t="shared" si="10"/>
        <v>0.879691682727418</v>
      </c>
      <c r="Z30" s="35">
        <v>809.1938</v>
      </c>
      <c r="AA30" s="36">
        <f t="shared" si="11"/>
        <v>0.251417056642057</v>
      </c>
      <c r="AB30" s="35">
        <v>812.5273</v>
      </c>
      <c r="AC30" s="36">
        <f t="shared" si="12"/>
        <v>0.105737475579333</v>
      </c>
      <c r="AD30" s="35">
        <v>817.443</v>
      </c>
      <c r="AE30" s="36">
        <f t="shared" si="13"/>
        <v>0.256948488273737</v>
      </c>
      <c r="AF30" s="35">
        <v>780.5822</v>
      </c>
      <c r="AG30" s="36">
        <f t="shared" si="14"/>
        <v>0.154579128857134</v>
      </c>
      <c r="AH30" s="35">
        <v>635.0973</v>
      </c>
      <c r="AI30" s="36">
        <f t="shared" si="15"/>
        <v>0.00449152441845291</v>
      </c>
      <c r="AJ30" s="35">
        <v>722.3021</v>
      </c>
      <c r="AK30" s="36">
        <f t="shared" si="16"/>
        <v>0.100531081265977</v>
      </c>
      <c r="AL30" s="35">
        <v>807.5782</v>
      </c>
      <c r="AM30" s="36">
        <f t="shared" si="17"/>
        <v>0.123109534227951</v>
      </c>
      <c r="AN30" s="35">
        <v>818.5038</v>
      </c>
      <c r="AO30" s="36">
        <f t="shared" si="18"/>
        <v>0.157987366466002</v>
      </c>
      <c r="AP30" s="35">
        <v>833.4438</v>
      </c>
      <c r="AQ30" s="36">
        <f t="shared" si="19"/>
        <v>0.246988808960851</v>
      </c>
      <c r="AR30" s="35">
        <v>763.6925</v>
      </c>
      <c r="AS30" s="36">
        <f t="shared" si="20"/>
        <v>0.136752674900427</v>
      </c>
      <c r="AT30" s="35">
        <f t="shared" si="21"/>
        <v>8983.3104</v>
      </c>
      <c r="AU30" s="36">
        <f t="shared" si="22"/>
        <v>0.189525566381575</v>
      </c>
      <c r="AV30" s="36"/>
      <c r="AW30" s="35">
        <f t="shared" si="23"/>
        <v>6880.1918</v>
      </c>
      <c r="AX30" s="35">
        <v>464.0114</v>
      </c>
      <c r="AY30" s="36">
        <f t="shared" si="24"/>
        <v>2.48206853803241</v>
      </c>
      <c r="AZ30" s="35">
        <v>325.4829</v>
      </c>
      <c r="BA30" s="36">
        <f t="shared" si="25"/>
        <v>0.305915163615091</v>
      </c>
      <c r="BB30" s="35">
        <v>646.622</v>
      </c>
      <c r="BC30" s="36">
        <f t="shared" si="26"/>
        <v>0.894393360649638</v>
      </c>
      <c r="BD30" s="35">
        <v>734.8284</v>
      </c>
      <c r="BE30" s="36">
        <f t="shared" si="27"/>
        <v>0.891727256836329</v>
      </c>
      <c r="BF30" s="35">
        <v>650.3393</v>
      </c>
      <c r="BG30" s="36">
        <f t="shared" si="28"/>
        <v>0.74059245619341</v>
      </c>
      <c r="BH30" s="35">
        <v>676.0751</v>
      </c>
      <c r="BI30" s="36">
        <f t="shared" si="29"/>
        <v>0.732004841901663</v>
      </c>
      <c r="BJ30" s="35">
        <v>632.2575</v>
      </c>
      <c r="BK30" s="36">
        <f t="shared" si="30"/>
        <v>0.945999875038897</v>
      </c>
      <c r="BL30" s="35">
        <v>656.3214</v>
      </c>
      <c r="BM30" s="36">
        <f t="shared" si="31"/>
        <v>0.775664317047607</v>
      </c>
      <c r="BN30" s="35">
        <v>719.0556</v>
      </c>
      <c r="BO30" s="36">
        <f t="shared" si="32"/>
        <v>0.98433462732855</v>
      </c>
      <c r="BP30" s="35">
        <v>706.8331</v>
      </c>
      <c r="BQ30" s="36">
        <f t="shared" si="33"/>
        <v>0.881542132138871</v>
      </c>
      <c r="BR30" s="35">
        <v>668.3651</v>
      </c>
      <c r="BS30" s="36">
        <f t="shared" si="34"/>
        <v>0.623038786435893</v>
      </c>
      <c r="BT30" s="35">
        <v>671.8194</v>
      </c>
      <c r="BU30" s="36">
        <f t="shared" si="35"/>
        <v>0.965065663121773</v>
      </c>
      <c r="BV30" s="35">
        <f t="shared" si="36"/>
        <v>7552.0112</v>
      </c>
      <c r="BW30" s="36">
        <f t="shared" si="37"/>
        <v>0.858965617630195</v>
      </c>
      <c r="BX30" s="36"/>
      <c r="BY30" s="50">
        <v>133.2574</v>
      </c>
      <c r="BZ30" s="721">
        <f t="shared" si="38"/>
        <v>2.37620345785111</v>
      </c>
      <c r="CA30" s="50">
        <v>249.2374</v>
      </c>
      <c r="CB30" s="721">
        <f t="shared" si="39"/>
        <v>4.61255745139854</v>
      </c>
      <c r="CC30" s="41">
        <v>341.3346</v>
      </c>
      <c r="CD30" s="721">
        <f t="shared" si="40"/>
        <v>3.88922788683007</v>
      </c>
      <c r="CE30" s="41">
        <v>388.4431</v>
      </c>
      <c r="CF30" s="721">
        <f t="shared" si="41"/>
        <v>4.75796264261754</v>
      </c>
      <c r="CG30" s="41">
        <v>373.631</v>
      </c>
      <c r="CH30" s="721">
        <f t="shared" si="42"/>
        <v>3.31042896515603</v>
      </c>
      <c r="CI30" s="50">
        <v>390.3425</v>
      </c>
      <c r="CJ30" s="721">
        <f t="shared" si="43"/>
        <v>3.95067618899048</v>
      </c>
      <c r="CK30" s="702">
        <v>324.9011</v>
      </c>
      <c r="CL30" s="721">
        <f t="shared" si="44"/>
        <v>3.27424398496587</v>
      </c>
      <c r="CM30" s="41">
        <v>369.6202</v>
      </c>
      <c r="CN30" s="721">
        <f t="shared" si="45"/>
        <v>4.87965188509217</v>
      </c>
      <c r="CO30" s="41">
        <v>362.3661</v>
      </c>
      <c r="CP30" s="721">
        <f t="shared" si="46"/>
        <v>3.87309273997251</v>
      </c>
      <c r="CQ30" s="41">
        <v>375.6669</v>
      </c>
      <c r="CR30" s="721">
        <f t="shared" si="47"/>
        <v>3.11957469347203</v>
      </c>
      <c r="CS30" s="41">
        <v>411.7986</v>
      </c>
      <c r="CT30" s="721">
        <f t="shared" si="48"/>
        <v>0.410287531139104</v>
      </c>
      <c r="CU30" s="41">
        <v>341.8814</v>
      </c>
      <c r="CV30" s="721">
        <f t="shared" si="49"/>
        <v>0.170841949313039</v>
      </c>
      <c r="CW30" s="41">
        <f t="shared" si="50"/>
        <v>4062.4803</v>
      </c>
      <c r="CX30" s="721">
        <f t="shared" si="51"/>
        <v>2.37377814658139</v>
      </c>
      <c r="CY30" s="721"/>
      <c r="CZ30" s="721">
        <f t="shared" si="52"/>
        <v>-0.169784938559772</v>
      </c>
      <c r="DA30" s="721">
        <f t="shared" si="53"/>
        <v>0.0961801532155215</v>
      </c>
      <c r="DB30" s="721"/>
      <c r="DC30" s="721"/>
      <c r="DD30" s="721"/>
      <c r="DE30" s="721"/>
      <c r="DF30" s="721"/>
      <c r="DG30" s="721"/>
      <c r="DH30" s="721"/>
      <c r="DI30" s="721"/>
      <c r="DJ30" s="721"/>
      <c r="DK30" s="721"/>
      <c r="DL30" s="735" t="s">
        <v>96</v>
      </c>
      <c r="DM30" s="742">
        <v>39.4696</v>
      </c>
      <c r="DN30" s="742">
        <v>44.4071</v>
      </c>
      <c r="DO30" s="731">
        <v>69.8136</v>
      </c>
      <c r="DP30" s="731">
        <v>67.4619</v>
      </c>
      <c r="DQ30" s="731">
        <v>86.6807</v>
      </c>
      <c r="DR30" s="731">
        <v>78.8463</v>
      </c>
      <c r="DS30" s="731">
        <v>76.0137</v>
      </c>
      <c r="DT30" s="731">
        <v>62.8643</v>
      </c>
      <c r="DU30" s="731">
        <v>74.3606</v>
      </c>
      <c r="DV30" s="731">
        <v>91.1907</v>
      </c>
      <c r="DW30" s="731">
        <v>221.0291</v>
      </c>
      <c r="DX30" s="731">
        <v>291.9962</v>
      </c>
      <c r="DY30" s="732">
        <v>4.65818315699725</v>
      </c>
      <c r="DZ30" s="731">
        <f t="shared" si="65"/>
        <v>1204.1338</v>
      </c>
      <c r="EA30" s="733">
        <f t="shared" si="66"/>
        <v>1.09288964136481</v>
      </c>
      <c r="EB30" s="733"/>
      <c r="EC30" s="35">
        <v>44.168</v>
      </c>
      <c r="ED30" s="35">
        <v>34.7348</v>
      </c>
      <c r="EE30" s="35">
        <v>53.47846</v>
      </c>
      <c r="EF30" s="35">
        <v>48.74774</v>
      </c>
      <c r="EG30" s="35">
        <v>53.5033</v>
      </c>
      <c r="EH30" s="35">
        <v>51.2957</v>
      </c>
      <c r="EI30" s="35">
        <v>41.9926</v>
      </c>
      <c r="EJ30" s="35">
        <v>46.9933</v>
      </c>
      <c r="EK30" s="35">
        <v>47.945</v>
      </c>
      <c r="EL30" s="35">
        <v>50.2436</v>
      </c>
      <c r="EM30" s="35">
        <v>50.6366</v>
      </c>
      <c r="EN30" s="35">
        <v>51.606</v>
      </c>
      <c r="EO30" s="744">
        <f t="shared" si="68"/>
        <v>575.3451</v>
      </c>
      <c r="EP30" s="36"/>
      <c r="EQ30" s="740">
        <f>SUM(EC30:EN30)</f>
        <v>575.3451</v>
      </c>
    </row>
    <row r="31" s="206" customFormat="1" ht="27" customHeight="1" spans="1:147">
      <c r="A31" s="45"/>
      <c r="B31" s="707" t="s">
        <v>90</v>
      </c>
      <c r="C31" s="35">
        <v>470.34000217844</v>
      </c>
      <c r="D31" s="36">
        <f t="shared" si="0"/>
        <v>0.0590680252136546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0.149841317563164</v>
      </c>
      <c r="O31" s="35">
        <v>595.43549600708</v>
      </c>
      <c r="P31" s="36">
        <f t="shared" si="6"/>
        <v>-0.0671271158944112</v>
      </c>
      <c r="Q31" s="127"/>
      <c r="R31" s="127"/>
      <c r="S31" s="35">
        <f t="shared" si="7"/>
        <v>3603.84422559578</v>
      </c>
      <c r="T31" s="36">
        <f t="shared" si="8"/>
        <v>-0.175468907713137</v>
      </c>
      <c r="U31" s="36"/>
      <c r="V31" s="35">
        <v>444.10745200579</v>
      </c>
      <c r="W31" s="36">
        <f t="shared" si="9"/>
        <v>-0.25754581207151</v>
      </c>
      <c r="X31" s="35">
        <v>374.453581682658</v>
      </c>
      <c r="Y31" s="36">
        <f t="shared" si="10"/>
        <v>0.382848439212753</v>
      </c>
      <c r="Z31" s="35">
        <v>557.53636568805</v>
      </c>
      <c r="AA31" s="36">
        <f t="shared" si="11"/>
        <v>-0.0127128970001904</v>
      </c>
      <c r="AB31" s="35">
        <v>603.16112295864</v>
      </c>
      <c r="AC31" s="36">
        <f t="shared" si="12"/>
        <v>0.0919267764382685</v>
      </c>
      <c r="AD31" s="35">
        <v>608.81965734454</v>
      </c>
      <c r="AE31" s="36">
        <f t="shared" si="13"/>
        <v>-0.0632186911198052</v>
      </c>
      <c r="AF31" s="35">
        <v>512.79643257214</v>
      </c>
      <c r="AG31" s="36">
        <f t="shared" si="14"/>
        <v>-0.0230020762262285</v>
      </c>
      <c r="AH31" s="35">
        <v>638.28149167179</v>
      </c>
      <c r="AI31" s="36">
        <f t="shared" si="15"/>
        <v>0.0849681089753334</v>
      </c>
      <c r="AJ31" s="35">
        <v>631.62416052998</v>
      </c>
      <c r="AK31" s="36">
        <f t="shared" si="16"/>
        <v>-0.0508896645409712</v>
      </c>
      <c r="AL31" s="35">
        <v>640.98170375901</v>
      </c>
      <c r="AM31" s="36">
        <f t="shared" si="17"/>
        <v>0.0136985877149842</v>
      </c>
      <c r="AN31" s="35">
        <v>566.58320133771</v>
      </c>
      <c r="AO31" s="36">
        <f t="shared" si="18"/>
        <v>-0.133713585043104</v>
      </c>
      <c r="AP31" s="35">
        <v>719.64137004397</v>
      </c>
      <c r="AQ31" s="36">
        <f t="shared" si="19"/>
        <v>-0.0748579687686504</v>
      </c>
      <c r="AR31" s="35">
        <v>713.1175328184</v>
      </c>
      <c r="AS31" s="36">
        <f t="shared" si="20"/>
        <v>-0.0569263872487757</v>
      </c>
      <c r="AT31" s="35">
        <f t="shared" si="21"/>
        <v>7011.10407241268</v>
      </c>
      <c r="AU31" s="36">
        <f t="shared" si="22"/>
        <v>-0.0309456779645941</v>
      </c>
      <c r="AV31" s="36"/>
      <c r="AW31" s="35">
        <f t="shared" si="23"/>
        <v>6478.83275615444</v>
      </c>
      <c r="AX31" s="35">
        <v>598.16142090179</v>
      </c>
      <c r="AY31" s="36">
        <f t="shared" si="24"/>
        <v>0.286090579229167</v>
      </c>
      <c r="AZ31" s="35">
        <v>270.784253042099</v>
      </c>
      <c r="BA31" s="36">
        <f t="shared" si="25"/>
        <v>-0.539986603807713</v>
      </c>
      <c r="BB31" s="35">
        <v>564.71553613332</v>
      </c>
      <c r="BC31" s="36">
        <f t="shared" si="26"/>
        <v>-0.227484309048716</v>
      </c>
      <c r="BD31" s="35">
        <v>552.38239044387</v>
      </c>
      <c r="BE31" s="36">
        <f t="shared" si="27"/>
        <v>-0.207556087790097</v>
      </c>
      <c r="BF31" s="35">
        <v>649.90585483853</v>
      </c>
      <c r="BG31" s="36">
        <f t="shared" si="28"/>
        <v>-0.170342610593128</v>
      </c>
      <c r="BH31" s="35">
        <v>524.86952131014</v>
      </c>
      <c r="BI31" s="36">
        <f t="shared" si="29"/>
        <v>-0.296354108430463</v>
      </c>
      <c r="BJ31" s="35">
        <v>588.2951640621</v>
      </c>
      <c r="BK31" s="36">
        <f t="shared" si="30"/>
        <v>-0.2772190728348</v>
      </c>
      <c r="BL31" s="35">
        <v>665.49076217203</v>
      </c>
      <c r="BM31" s="36">
        <f t="shared" si="31"/>
        <v>-0.262491628394252</v>
      </c>
      <c r="BN31" s="35">
        <v>632.31981530513</v>
      </c>
      <c r="BO31" s="36">
        <f t="shared" si="32"/>
        <v>-0.282733639611051</v>
      </c>
      <c r="BP31" s="35">
        <v>654.036807637</v>
      </c>
      <c r="BQ31" s="36">
        <f t="shared" si="33"/>
        <v>-0.258712402823971</v>
      </c>
      <c r="BR31" s="35">
        <v>777.87123030843</v>
      </c>
      <c r="BS31" s="36">
        <f t="shared" si="34"/>
        <v>-0.204976236622991</v>
      </c>
      <c r="BT31" s="35">
        <v>756.1631702726</v>
      </c>
      <c r="BU31" s="36">
        <f t="shared" si="35"/>
        <v>-0.202679337345083</v>
      </c>
      <c r="BV31" s="35">
        <f t="shared" si="36"/>
        <v>7234.99592642704</v>
      </c>
      <c r="BW31" s="36">
        <f t="shared" si="37"/>
        <v>-0.23179403286996</v>
      </c>
      <c r="BX31" s="36"/>
      <c r="BY31" s="50">
        <v>465.100538455312</v>
      </c>
      <c r="BZ31" s="721">
        <f t="shared" si="38"/>
        <v>-0.261314144982406</v>
      </c>
      <c r="CA31" s="50">
        <v>588.644277065598</v>
      </c>
      <c r="CB31" s="721">
        <f t="shared" si="39"/>
        <v>0.229504068570249</v>
      </c>
      <c r="CC31" s="41">
        <v>731.00849956578</v>
      </c>
      <c r="CD31" s="721">
        <f t="shared" si="40"/>
        <v>-0.0516210951977668</v>
      </c>
      <c r="CE31" s="41">
        <v>697.06181337608</v>
      </c>
      <c r="CF31" s="721">
        <f t="shared" si="41"/>
        <v>-0.0451060177258509</v>
      </c>
      <c r="CG31" s="41">
        <v>783.34245332661</v>
      </c>
      <c r="CH31" s="721">
        <f t="shared" si="42"/>
        <v>-0.00800536242159089</v>
      </c>
      <c r="CI31" s="50">
        <v>745.92849556668</v>
      </c>
      <c r="CJ31" s="721">
        <f t="shared" si="43"/>
        <v>0.00925495233419005</v>
      </c>
      <c r="CK31" s="702">
        <v>813.93288332806</v>
      </c>
      <c r="CL31" s="721">
        <f t="shared" si="44"/>
        <v>0.0455610974271767</v>
      </c>
      <c r="CM31" s="41">
        <v>902.35011261375</v>
      </c>
      <c r="CN31" s="721">
        <f t="shared" si="45"/>
        <v>0.0525239683100225</v>
      </c>
      <c r="CO31" s="41">
        <v>881.56903798227</v>
      </c>
      <c r="CP31" s="721">
        <f t="shared" si="46"/>
        <v>-0.0456572111174597</v>
      </c>
      <c r="CQ31" s="41">
        <v>882.29832810988</v>
      </c>
      <c r="CR31" s="721">
        <f t="shared" si="47"/>
        <v>0.0457162204211949</v>
      </c>
      <c r="CS31" s="41">
        <v>978.42513160145</v>
      </c>
      <c r="CT31" s="721">
        <f t="shared" si="48"/>
        <v>0.331654678951583</v>
      </c>
      <c r="CU31" s="41">
        <v>948.38025112096</v>
      </c>
      <c r="CV31" s="721">
        <f t="shared" si="49"/>
        <v>0.290763041586444</v>
      </c>
      <c r="CW31" s="41">
        <f t="shared" si="50"/>
        <v>9418.04182211243</v>
      </c>
      <c r="CX31" s="721">
        <f t="shared" si="51"/>
        <v>0.0349836736892388</v>
      </c>
      <c r="CY31" s="721"/>
      <c r="CZ31" s="721">
        <f t="shared" si="52"/>
        <v>-0.03070738834285</v>
      </c>
      <c r="DA31" s="721">
        <f t="shared" si="53"/>
        <v>0.108950454091304</v>
      </c>
      <c r="DB31" s="721"/>
      <c r="DC31" s="721"/>
      <c r="DD31" s="721"/>
      <c r="DE31" s="721"/>
      <c r="DF31" s="721"/>
      <c r="DG31" s="721"/>
      <c r="DH31" s="721"/>
      <c r="DI31" s="721"/>
      <c r="DJ31" s="721"/>
      <c r="DK31" s="721"/>
      <c r="DL31" s="206"/>
      <c r="DM31" s="742">
        <v>629.632387429748</v>
      </c>
      <c r="DN31" s="742">
        <v>478.765619499018</v>
      </c>
      <c r="DO31" s="731">
        <v>770.797933045778</v>
      </c>
      <c r="DP31" s="731">
        <v>729.988696458194</v>
      </c>
      <c r="DQ31" s="731">
        <v>789.663999836585</v>
      </c>
      <c r="DR31" s="731">
        <v>739.088268867552</v>
      </c>
      <c r="DS31" s="731">
        <v>778.465156489576</v>
      </c>
      <c r="DT31" s="731">
        <v>857.320250922743</v>
      </c>
      <c r="DU31" s="731">
        <v>923.74464212646</v>
      </c>
      <c r="DV31" s="731">
        <v>843.726348391638</v>
      </c>
      <c r="DW31" s="731">
        <v>823.76366912366</v>
      </c>
      <c r="DX31" s="731">
        <v>734.74388448195</v>
      </c>
      <c r="DY31" s="732">
        <v>-0.222711062202952</v>
      </c>
      <c r="DZ31" s="731">
        <f t="shared" si="65"/>
        <v>9099.7008566729</v>
      </c>
      <c r="EA31" s="733">
        <f t="shared" si="66"/>
        <v>-0.114536975906703</v>
      </c>
      <c r="EB31" s="733"/>
      <c r="EC31" s="35">
        <v>861.193279044735</v>
      </c>
      <c r="ED31" s="35">
        <v>379.093904909473</v>
      </c>
      <c r="EE31" s="35">
        <v>671.032839669607</v>
      </c>
      <c r="EF31" s="35">
        <v>856.331277044255</v>
      </c>
      <c r="EG31" s="35">
        <v>891.021571147812</v>
      </c>
      <c r="EH31" s="35">
        <v>948.91405011383</v>
      </c>
      <c r="EI31" s="35">
        <v>883.34081821588</v>
      </c>
      <c r="EJ31" s="35">
        <v>933.766194206032</v>
      </c>
      <c r="EK31" s="35">
        <v>971.97563017864</v>
      </c>
      <c r="EL31" s="35">
        <v>896.078937366755</v>
      </c>
      <c r="EM31" s="35">
        <v>1038.7578282657</v>
      </c>
      <c r="EN31" s="35">
        <v>945.264815635126</v>
      </c>
      <c r="EO31" s="724">
        <f t="shared" si="68"/>
        <v>10276.7711457978</v>
      </c>
      <c r="EP31" s="36"/>
      <c r="EQ31" s="740">
        <f>SUM(EC31:EN31)</f>
        <v>10276.7711457978</v>
      </c>
    </row>
    <row r="32" ht="27" customHeight="1" spans="1:147">
      <c r="A32" s="45"/>
      <c r="B32" s="707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127"/>
      <c r="R32" s="127"/>
      <c r="S32" s="35">
        <f t="shared" si="7"/>
        <v>814383.087908661</v>
      </c>
      <c r="T32" s="36">
        <f t="shared" si="8"/>
        <v>-0.137827967136655</v>
      </c>
      <c r="U32" s="36"/>
      <c r="V32" s="35">
        <f>V33+V34</f>
        <v>92267.2616641149</v>
      </c>
      <c r="W32" s="36">
        <f t="shared" si="9"/>
        <v>-0.00861169501223036</v>
      </c>
      <c r="X32" s="35">
        <f>X33+X34</f>
        <v>92383.1424965642</v>
      </c>
      <c r="Y32" s="36">
        <f t="shared" si="10"/>
        <v>0.572059199754714</v>
      </c>
      <c r="Z32" s="35">
        <f>Z33+Z34</f>
        <v>130080.063735743</v>
      </c>
      <c r="AA32" s="36">
        <f t="shared" si="11"/>
        <v>0.095395738233218</v>
      </c>
      <c r="AB32" s="35">
        <f>AB33+AB34</f>
        <v>130161.352863525</v>
      </c>
      <c r="AC32" s="36">
        <f t="shared" si="12"/>
        <v>0.119177830357319</v>
      </c>
      <c r="AD32" s="35">
        <f>AD33+AD34</f>
        <v>134802.331495622</v>
      </c>
      <c r="AE32" s="36">
        <f t="shared" si="13"/>
        <v>0.11056610849671</v>
      </c>
      <c r="AF32" s="35">
        <f>AF33+AF34</f>
        <v>125120.157919929</v>
      </c>
      <c r="AG32" s="36">
        <f t="shared" si="14"/>
        <v>0.109114282999456</v>
      </c>
      <c r="AH32" s="35">
        <f>AH33+AH34</f>
        <v>116499.653429341</v>
      </c>
      <c r="AI32" s="36">
        <f t="shared" si="15"/>
        <v>0.0332205519689814</v>
      </c>
      <c r="AJ32" s="35">
        <f>AJ33+AJ34</f>
        <v>123257.487180948</v>
      </c>
      <c r="AK32" s="36">
        <f t="shared" si="16"/>
        <v>0.0258139807103928</v>
      </c>
      <c r="AL32" s="35">
        <f>AL33+AL34</f>
        <v>130396.668017622</v>
      </c>
      <c r="AM32" s="36">
        <f t="shared" si="17"/>
        <v>0.047243910317349</v>
      </c>
      <c r="AN32" s="35">
        <f>AN33+AN34</f>
        <v>127599.900313683</v>
      </c>
      <c r="AO32" s="36">
        <f t="shared" si="18"/>
        <v>-0.0237410700289874</v>
      </c>
      <c r="AP32" s="35">
        <f>AP33+AP34</f>
        <v>133409.949938361</v>
      </c>
      <c r="AQ32" s="36">
        <f t="shared" si="19"/>
        <v>-0.00423571096759867</v>
      </c>
      <c r="AR32" s="35">
        <f>AR33+AR34</f>
        <v>137113.062172786</v>
      </c>
      <c r="AS32" s="36">
        <f t="shared" si="20"/>
        <v>-0.0264796505239062</v>
      </c>
      <c r="AT32" s="35">
        <f t="shared" si="21"/>
        <v>1473091.03122824</v>
      </c>
      <c r="AU32" s="36">
        <f t="shared" si="22"/>
        <v>0.064351988269163</v>
      </c>
      <c r="AV32" s="36"/>
      <c r="AW32" s="35">
        <f t="shared" si="23"/>
        <v>1243183.67087849</v>
      </c>
      <c r="AX32" s="35">
        <f>AX33+AX34</f>
        <v>93068.7412791834</v>
      </c>
      <c r="AY32" s="36">
        <f t="shared" si="24"/>
        <v>0.441186830347405</v>
      </c>
      <c r="AZ32" s="35">
        <f>AZ33+AZ34</f>
        <v>58765.6893016361</v>
      </c>
      <c r="BA32" s="36">
        <f t="shared" si="25"/>
        <v>-0.320925656323515</v>
      </c>
      <c r="BB32" s="35">
        <f>BB33+BB34</f>
        <v>118751.661336159</v>
      </c>
      <c r="BC32" s="36">
        <f t="shared" si="26"/>
        <v>0.0864088491587625</v>
      </c>
      <c r="BD32" s="35">
        <f>BD33+BD34</f>
        <v>116300.867773594</v>
      </c>
      <c r="BE32" s="36">
        <f t="shared" si="27"/>
        <v>0.0798246450024038</v>
      </c>
      <c r="BF32" s="35">
        <f>BF33+BF34</f>
        <v>121381.636324283</v>
      </c>
      <c r="BG32" s="36">
        <f t="shared" si="28"/>
        <v>0.0654189827264329</v>
      </c>
      <c r="BH32" s="35">
        <f>BH33+BH34</f>
        <v>112810.87967018</v>
      </c>
      <c r="BI32" s="36">
        <f t="shared" si="29"/>
        <v>0.0122943588500162</v>
      </c>
      <c r="BJ32" s="35">
        <f>BJ33+BJ34</f>
        <v>112753.906421365</v>
      </c>
      <c r="BK32" s="36">
        <f t="shared" si="30"/>
        <v>0.035856277679938</v>
      </c>
      <c r="BL32" s="35">
        <f>BL33+BL34</f>
        <v>120155.787987594</v>
      </c>
      <c r="BM32" s="36">
        <f t="shared" si="31"/>
        <v>-0.0109200440226301</v>
      </c>
      <c r="BN32" s="35">
        <f>BN33+BN34</f>
        <v>124514.133463051</v>
      </c>
      <c r="BO32" s="36">
        <f t="shared" si="32"/>
        <v>0.0177845176094433</v>
      </c>
      <c r="BP32" s="35">
        <f>BP33+BP34</f>
        <v>130702.92767255</v>
      </c>
      <c r="BQ32" s="36">
        <f t="shared" si="33"/>
        <v>0.0189826976914576</v>
      </c>
      <c r="BR32" s="35">
        <f>BR33+BR34</f>
        <v>133977.439648893</v>
      </c>
      <c r="BS32" s="36">
        <f t="shared" si="34"/>
        <v>0.00441568270628423</v>
      </c>
      <c r="BT32" s="35">
        <f>BT33+BT34</f>
        <v>140842.522959663</v>
      </c>
      <c r="BU32" s="36">
        <f t="shared" si="35"/>
        <v>0.0493210870397804</v>
      </c>
      <c r="BV32" s="35">
        <f t="shared" si="36"/>
        <v>1384026.19383815</v>
      </c>
      <c r="BW32" s="36">
        <f t="shared" si="37"/>
        <v>0.0312808118346435</v>
      </c>
      <c r="BX32" s="36"/>
      <c r="BY32" s="41">
        <f>BY33+BY34</f>
        <v>64577.846063684</v>
      </c>
      <c r="BZ32" s="721">
        <f t="shared" si="38"/>
        <v>-0.102683262018272</v>
      </c>
      <c r="CA32" s="41">
        <f>CA33+CA34</f>
        <v>86537.9318904624</v>
      </c>
      <c r="CB32" s="721">
        <f t="shared" si="39"/>
        <v>0.67530919906012</v>
      </c>
      <c r="CC32" s="41">
        <f>SUM(CC33:CC34)</f>
        <v>109306.6035205</v>
      </c>
      <c r="CD32" s="721">
        <f t="shared" si="40"/>
        <v>0.343344442981504</v>
      </c>
      <c r="CE32" s="41">
        <v>107703.476033681</v>
      </c>
      <c r="CF32" s="721">
        <f t="shared" si="41"/>
        <v>0.335722475554507</v>
      </c>
      <c r="CG32" s="41">
        <v>113928.546695934</v>
      </c>
      <c r="CH32" s="721">
        <f t="shared" si="42"/>
        <v>0.330598822396359</v>
      </c>
      <c r="CI32" s="41">
        <f>CI33+CI34</f>
        <v>111440.786648594</v>
      </c>
      <c r="CJ32" s="721">
        <f t="shared" si="43"/>
        <v>0.39680235968673</v>
      </c>
      <c r="CK32" s="41">
        <f>CK33+CK34</f>
        <v>108850.917690923</v>
      </c>
      <c r="CL32" s="721">
        <f t="shared" si="44"/>
        <v>0.311277330234532</v>
      </c>
      <c r="CM32" s="41">
        <v>121482.380935382</v>
      </c>
      <c r="CN32" s="721">
        <f t="shared" si="45"/>
        <v>0.334708837365554</v>
      </c>
      <c r="CO32" s="41">
        <f>SUM(CO33:CO34)</f>
        <v>122338.403963452</v>
      </c>
      <c r="CP32" s="721">
        <f t="shared" si="46"/>
        <v>0.241203131715072</v>
      </c>
      <c r="CQ32" s="41">
        <f>SUM(CQ33:CQ34)</f>
        <v>128268.053980369</v>
      </c>
      <c r="CR32" s="721">
        <f t="shared" si="47"/>
        <v>0.197708981880579</v>
      </c>
      <c r="CS32" s="41">
        <f>CS33+CS34</f>
        <v>133388.438627228</v>
      </c>
      <c r="CT32" s="721">
        <f t="shared" si="48"/>
        <v>0.165760195240998</v>
      </c>
      <c r="CU32" s="41">
        <f>CU33+CU34</f>
        <v>134222.52225674</v>
      </c>
      <c r="CV32" s="721">
        <f t="shared" si="49"/>
        <v>0.173049743756549</v>
      </c>
      <c r="CW32" s="41">
        <f t="shared" si="50"/>
        <v>1342045.90830695</v>
      </c>
      <c r="CX32" s="721">
        <f t="shared" si="51"/>
        <v>0.27029125076284</v>
      </c>
      <c r="CY32" s="721"/>
      <c r="CZ32" s="721">
        <f t="shared" si="52"/>
        <v>0.00625304290308515</v>
      </c>
      <c r="DA32" s="721">
        <f t="shared" si="53"/>
        <v>0.0399194069603837</v>
      </c>
      <c r="DB32" s="721"/>
      <c r="DC32" s="721"/>
      <c r="DD32" s="721"/>
      <c r="DE32" s="721"/>
      <c r="DF32" s="721"/>
      <c r="DG32" s="721"/>
      <c r="DH32" s="721"/>
      <c r="DI32" s="721"/>
      <c r="DJ32" s="721"/>
      <c r="DK32" s="721"/>
      <c r="DM32" s="41">
        <v>71967.727035756</v>
      </c>
      <c r="DN32" s="41">
        <v>51654.9016378659</v>
      </c>
      <c r="DO32" s="41">
        <v>81369.0071013341</v>
      </c>
      <c r="DP32" s="41">
        <v>80633.1240244867</v>
      </c>
      <c r="DQ32" s="41">
        <v>85622.0107656137</v>
      </c>
      <c r="DR32" s="41">
        <v>79782.7880771817</v>
      </c>
      <c r="DS32" s="41">
        <v>83011.3624182414</v>
      </c>
      <c r="DT32" s="41">
        <v>91017.8890964442</v>
      </c>
      <c r="DU32" s="41">
        <v>98564.3693908559</v>
      </c>
      <c r="DV32" s="41">
        <v>107094.507865316</v>
      </c>
      <c r="DW32" s="41">
        <v>111347.238380207</v>
      </c>
      <c r="DX32" s="41">
        <v>114421.850370052</v>
      </c>
      <c r="DY32" s="721">
        <v>0.192172818947346</v>
      </c>
      <c r="DZ32" s="41">
        <f t="shared" si="65"/>
        <v>1056486.77616335</v>
      </c>
      <c r="EA32" s="36">
        <f t="shared" si="66"/>
        <v>-0.0129188177452091</v>
      </c>
      <c r="EB32" s="36"/>
      <c r="EC32" s="737">
        <f t="shared" ref="EC32:EN32" si="82">EC33+EC34</f>
        <v>96418.7008252612</v>
      </c>
      <c r="ED32" s="737">
        <f t="shared" si="82"/>
        <v>48096.9045090024</v>
      </c>
      <c r="EE32" s="737">
        <f t="shared" si="82"/>
        <v>73568.7651607894</v>
      </c>
      <c r="EF32" s="737">
        <f t="shared" si="82"/>
        <v>87893.4595323417</v>
      </c>
      <c r="EG32" s="737">
        <f t="shared" si="82"/>
        <v>89552.0871551686</v>
      </c>
      <c r="EH32" s="737">
        <f t="shared" si="82"/>
        <v>92421.4754397248</v>
      </c>
      <c r="EI32" s="737">
        <f t="shared" si="82"/>
        <v>85841.3398085572</v>
      </c>
      <c r="EJ32" s="737">
        <f t="shared" si="82"/>
        <v>99815.4559874332</v>
      </c>
      <c r="EK32" s="737">
        <f t="shared" si="82"/>
        <v>99630.6457498804</v>
      </c>
      <c r="EL32" s="737">
        <f t="shared" si="82"/>
        <v>93070.3585942541</v>
      </c>
      <c r="EM32" s="50">
        <f t="shared" si="82"/>
        <v>108027.204316596</v>
      </c>
      <c r="EN32" s="50">
        <f t="shared" si="82"/>
        <v>95977.5701572224</v>
      </c>
      <c r="EO32" s="724">
        <f t="shared" si="68"/>
        <v>1070313.96723623</v>
      </c>
      <c r="EP32" s="36"/>
      <c r="EQ32" s="738"/>
    </row>
    <row r="33" ht="27" customHeight="1" spans="1:147">
      <c r="A33" s="45"/>
      <c r="B33" s="707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127"/>
      <c r="R33" s="127"/>
      <c r="S33" s="35">
        <f t="shared" si="7"/>
        <v>458198.9876</v>
      </c>
      <c r="T33" s="36">
        <f t="shared" si="8"/>
        <v>-0.0348722468028374</v>
      </c>
      <c r="U33" s="36"/>
      <c r="V33" s="35">
        <v>48335.4596</v>
      </c>
      <c r="W33" s="36">
        <f t="shared" si="9"/>
        <v>0.539642012475145</v>
      </c>
      <c r="X33" s="35">
        <v>45005.6073</v>
      </c>
      <c r="Y33" s="36">
        <f t="shared" si="10"/>
        <v>0.882820289263728</v>
      </c>
      <c r="Z33" s="35">
        <v>68502.5561</v>
      </c>
      <c r="AA33" s="36">
        <f t="shared" si="11"/>
        <v>0.0258968562610364</v>
      </c>
      <c r="AB33" s="35">
        <v>67823.3254</v>
      </c>
      <c r="AC33" s="36">
        <f t="shared" si="12"/>
        <v>0.209511251390417</v>
      </c>
      <c r="AD33" s="35">
        <v>69665.1821</v>
      </c>
      <c r="AE33" s="36">
        <f t="shared" si="13"/>
        <v>0.233743243402821</v>
      </c>
      <c r="AF33" s="35">
        <v>69113.7016</v>
      </c>
      <c r="AG33" s="36">
        <f t="shared" si="14"/>
        <v>0.19003604076747</v>
      </c>
      <c r="AH33" s="35">
        <v>50686.8219</v>
      </c>
      <c r="AI33" s="36">
        <f t="shared" si="15"/>
        <v>-0.0824411817876156</v>
      </c>
      <c r="AJ33" s="35">
        <v>55622.0985</v>
      </c>
      <c r="AK33" s="36">
        <f t="shared" si="16"/>
        <v>0.0622983904340053</v>
      </c>
      <c r="AL33" s="35">
        <v>57908.3408</v>
      </c>
      <c r="AM33" s="36">
        <f t="shared" si="17"/>
        <v>-0.00589214530578941</v>
      </c>
      <c r="AN33" s="35">
        <v>62774.5944</v>
      </c>
      <c r="AO33" s="36">
        <f t="shared" si="18"/>
        <v>0.0525130267708951</v>
      </c>
      <c r="AP33" s="35">
        <v>63596.0423</v>
      </c>
      <c r="AQ33" s="36">
        <f t="shared" si="19"/>
        <v>0.0848069494983621</v>
      </c>
      <c r="AR33" s="35">
        <v>62339.1809</v>
      </c>
      <c r="AS33" s="36">
        <f t="shared" si="20"/>
        <v>0.0526279664288858</v>
      </c>
      <c r="AT33" s="35">
        <f t="shared" si="21"/>
        <v>721372.9109</v>
      </c>
      <c r="AU33" s="36">
        <f t="shared" si="22"/>
        <v>0.134178784073977</v>
      </c>
      <c r="AV33" s="36"/>
      <c r="AW33" s="35">
        <f t="shared" si="23"/>
        <v>576808.6143</v>
      </c>
      <c r="AX33" s="35">
        <v>31393.9599</v>
      </c>
      <c r="AY33" s="36">
        <f t="shared" si="24"/>
        <v>1.17423638921884</v>
      </c>
      <c r="AZ33" s="35">
        <v>23903.2942</v>
      </c>
      <c r="BA33" s="36">
        <f t="shared" si="25"/>
        <v>-0.276740289391157</v>
      </c>
      <c r="BB33" s="35">
        <v>66773.3366</v>
      </c>
      <c r="BC33" s="36">
        <f t="shared" si="26"/>
        <v>0.50478151250704</v>
      </c>
      <c r="BD33" s="35">
        <v>56074.9851</v>
      </c>
      <c r="BE33" s="36">
        <f t="shared" si="27"/>
        <v>0.347948181218745</v>
      </c>
      <c r="BF33" s="35">
        <v>56466.5156</v>
      </c>
      <c r="BG33" s="36">
        <f t="shared" si="28"/>
        <v>0.385672455308385</v>
      </c>
      <c r="BH33" s="35">
        <v>58076.9819</v>
      </c>
      <c r="BI33" s="36">
        <f t="shared" si="29"/>
        <v>0.281864641673198</v>
      </c>
      <c r="BJ33" s="35">
        <v>55240.9512</v>
      </c>
      <c r="BK33" s="36">
        <f t="shared" si="30"/>
        <v>0.670707993540472</v>
      </c>
      <c r="BL33" s="35">
        <v>52360.1457</v>
      </c>
      <c r="BM33" s="36">
        <f t="shared" si="31"/>
        <v>0.405161005682956</v>
      </c>
      <c r="BN33" s="35">
        <v>58251.5675</v>
      </c>
      <c r="BO33" s="36">
        <f t="shared" si="32"/>
        <v>0.478487768375968</v>
      </c>
      <c r="BP33" s="35">
        <v>59642.5819</v>
      </c>
      <c r="BQ33" s="36">
        <f t="shared" si="33"/>
        <v>0.469919280920197</v>
      </c>
      <c r="BR33" s="35">
        <v>58624.2947</v>
      </c>
      <c r="BS33" s="36">
        <f t="shared" si="34"/>
        <v>0.455921999271655</v>
      </c>
      <c r="BT33" s="35">
        <v>59222.4251</v>
      </c>
      <c r="BU33" s="36">
        <f t="shared" si="35"/>
        <v>0.489311651493335</v>
      </c>
      <c r="BV33" s="35">
        <f t="shared" si="36"/>
        <v>636031.0394</v>
      </c>
      <c r="BW33" s="36">
        <f t="shared" si="37"/>
        <v>0.413864918838609</v>
      </c>
      <c r="BX33" s="36"/>
      <c r="BY33" s="50">
        <v>14439.0739</v>
      </c>
      <c r="BZ33" s="721">
        <f t="shared" si="38"/>
        <v>1.09770902552304</v>
      </c>
      <c r="CA33" s="50">
        <v>33049.3927</v>
      </c>
      <c r="CB33" s="721">
        <f t="shared" si="39"/>
        <v>3.65973354660501</v>
      </c>
      <c r="CC33" s="41">
        <v>44374.1075</v>
      </c>
      <c r="CD33" s="721">
        <f t="shared" si="40"/>
        <v>3.25667835905802</v>
      </c>
      <c r="CE33" s="41">
        <v>41600.2528</v>
      </c>
      <c r="CF33" s="721">
        <f t="shared" si="41"/>
        <v>3.32463633460024</v>
      </c>
      <c r="CG33" s="41">
        <v>40750.262</v>
      </c>
      <c r="CH33" s="721">
        <f t="shared" si="42"/>
        <v>2.2497129485204</v>
      </c>
      <c r="CI33" s="702">
        <v>45306.6416</v>
      </c>
      <c r="CJ33" s="721">
        <f t="shared" si="43"/>
        <v>3.31083764975539</v>
      </c>
      <c r="CK33" s="702">
        <v>33064.3963</v>
      </c>
      <c r="CL33" s="721">
        <f t="shared" si="44"/>
        <v>2.53792519074944</v>
      </c>
      <c r="CM33" s="41">
        <v>37262.7375</v>
      </c>
      <c r="CN33" s="721">
        <f t="shared" si="45"/>
        <v>3.09172637282323</v>
      </c>
      <c r="CO33" s="702">
        <v>39399.4247</v>
      </c>
      <c r="CP33" s="721">
        <f t="shared" si="46"/>
        <v>2.30671612075511</v>
      </c>
      <c r="CQ33" s="702">
        <v>40575.413</v>
      </c>
      <c r="CR33" s="721">
        <f t="shared" si="47"/>
        <v>1.74449581662942</v>
      </c>
      <c r="CS33" s="50">
        <v>40266.0958</v>
      </c>
      <c r="CT33" s="721">
        <f t="shared" si="48"/>
        <v>0.114586897518823</v>
      </c>
      <c r="CU33" s="50">
        <v>39764.9646</v>
      </c>
      <c r="CV33" s="721">
        <f t="shared" si="49"/>
        <v>0.100715319995335</v>
      </c>
      <c r="CW33" s="41">
        <f t="shared" si="50"/>
        <v>449852.7624</v>
      </c>
      <c r="CX33" s="721">
        <f t="shared" si="51"/>
        <v>1.80644275220684</v>
      </c>
      <c r="CY33" s="721"/>
      <c r="CZ33" s="721">
        <f t="shared" si="52"/>
        <v>-0.012445487699853</v>
      </c>
      <c r="DA33" s="721">
        <f t="shared" si="53"/>
        <v>-0.00762326682910164</v>
      </c>
      <c r="DB33" s="721"/>
      <c r="DC33" s="721"/>
      <c r="DD33" s="721"/>
      <c r="DE33" s="721"/>
      <c r="DF33" s="721"/>
      <c r="DG33" s="721"/>
      <c r="DH33" s="721"/>
      <c r="DI33" s="721"/>
      <c r="DJ33" s="721"/>
      <c r="DK33" s="721"/>
      <c r="DM33" s="50">
        <v>6883.2587</v>
      </c>
      <c r="DN33" s="50">
        <v>7092.5499</v>
      </c>
      <c r="DO33" s="41">
        <v>10424.5855</v>
      </c>
      <c r="DP33" s="41">
        <v>9619.3644</v>
      </c>
      <c r="DQ33" s="41">
        <v>12539.6497</v>
      </c>
      <c r="DR33" s="41">
        <v>10509.9392</v>
      </c>
      <c r="DS33" s="41">
        <v>9345.7025</v>
      </c>
      <c r="DT33" s="41">
        <v>9106.8498</v>
      </c>
      <c r="DU33" s="41">
        <v>11914.9704</v>
      </c>
      <c r="DV33" s="41">
        <v>14784.2867</v>
      </c>
      <c r="DW33" s="41">
        <v>21945.2378</v>
      </c>
      <c r="DX33" s="41">
        <v>36126.4751</v>
      </c>
      <c r="DY33" s="721">
        <v>2.67054820561465</v>
      </c>
      <c r="DZ33" s="41">
        <f t="shared" si="65"/>
        <v>160292.8697</v>
      </c>
      <c r="EA33" s="36">
        <f t="shared" si="66"/>
        <v>0.474707232030553</v>
      </c>
      <c r="EB33" s="36"/>
      <c r="EC33" s="35">
        <v>9393.4327</v>
      </c>
      <c r="ED33" s="35">
        <v>7047.9617</v>
      </c>
      <c r="EE33" s="35">
        <v>9063.729</v>
      </c>
      <c r="EF33" s="35">
        <v>8784.38506</v>
      </c>
      <c r="EG33" s="35">
        <v>9409.6691</v>
      </c>
      <c r="EH33" s="35">
        <v>9088.7772</v>
      </c>
      <c r="EI33" s="35">
        <v>8211.5924</v>
      </c>
      <c r="EJ33" s="35">
        <v>9562.8517</v>
      </c>
      <c r="EK33" s="35">
        <v>9184.8753</v>
      </c>
      <c r="EL33" s="35">
        <v>9849.0128</v>
      </c>
      <c r="EM33" s="35">
        <v>9256.1635</v>
      </c>
      <c r="EN33" s="35">
        <v>9842.256</v>
      </c>
      <c r="EO33" s="744">
        <f t="shared" si="68"/>
        <v>108694.70646</v>
      </c>
      <c r="EP33" s="36"/>
      <c r="EQ33" s="740">
        <f>SUM(EC33:EN33)</f>
        <v>108694.70646</v>
      </c>
    </row>
    <row r="34" ht="27" customHeight="1" spans="1:147">
      <c r="A34" s="29"/>
      <c r="B34" s="707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127"/>
      <c r="R34" s="127"/>
      <c r="S34" s="35">
        <f t="shared" si="7"/>
        <v>356184.100308661</v>
      </c>
      <c r="T34" s="36">
        <f t="shared" si="8"/>
        <v>-0.24186581360717</v>
      </c>
      <c r="U34" s="36"/>
      <c r="V34" s="35">
        <v>43931.8020641149</v>
      </c>
      <c r="W34" s="36">
        <f t="shared" si="9"/>
        <v>-0.287686132294214</v>
      </c>
      <c r="X34" s="35">
        <v>47377.5351965642</v>
      </c>
      <c r="Y34" s="36">
        <f t="shared" si="10"/>
        <v>0.358986812536605</v>
      </c>
      <c r="Z34" s="35">
        <v>61577.5076357432</v>
      </c>
      <c r="AA34" s="36">
        <f t="shared" si="11"/>
        <v>0.184676650282771</v>
      </c>
      <c r="AB34" s="35">
        <v>62338.0274635249</v>
      </c>
      <c r="AC34" s="36">
        <f t="shared" si="12"/>
        <v>0.0350703832997779</v>
      </c>
      <c r="AD34" s="35">
        <v>65137.1493956218</v>
      </c>
      <c r="AE34" s="36">
        <f t="shared" si="13"/>
        <v>0.00342029205001304</v>
      </c>
      <c r="AF34" s="35">
        <v>56006.4563199291</v>
      </c>
      <c r="AG34" s="36">
        <f t="shared" si="14"/>
        <v>0.0232499164428743</v>
      </c>
      <c r="AH34" s="35">
        <v>65812.8315293412</v>
      </c>
      <c r="AI34" s="36">
        <f t="shared" si="15"/>
        <v>0.14431315998336</v>
      </c>
      <c r="AJ34" s="35">
        <v>67635.3886809475</v>
      </c>
      <c r="AK34" s="36">
        <f t="shared" si="16"/>
        <v>-0.00236377444388536</v>
      </c>
      <c r="AL34" s="35">
        <v>72488.3272176215</v>
      </c>
      <c r="AM34" s="36">
        <f t="shared" si="17"/>
        <v>0.0939559337023321</v>
      </c>
      <c r="AN34" s="35">
        <v>64825.3059136825</v>
      </c>
      <c r="AO34" s="36">
        <f t="shared" si="18"/>
        <v>-0.0877428865717146</v>
      </c>
      <c r="AP34" s="35">
        <v>69813.907638361</v>
      </c>
      <c r="AQ34" s="36">
        <f t="shared" si="19"/>
        <v>-0.0735103666116196</v>
      </c>
      <c r="AR34" s="35">
        <v>74773.8812727861</v>
      </c>
      <c r="AS34" s="36">
        <f t="shared" si="20"/>
        <v>-0.0838790538899921</v>
      </c>
      <c r="AT34" s="35">
        <f t="shared" si="21"/>
        <v>751718.120328238</v>
      </c>
      <c r="AU34" s="36">
        <f t="shared" si="22"/>
        <v>0.00497725936858973</v>
      </c>
      <c r="AV34" s="36"/>
      <c r="AW34" s="35">
        <f t="shared" si="23"/>
        <v>666375.056578488</v>
      </c>
      <c r="AX34" s="35">
        <v>61674.7813791834</v>
      </c>
      <c r="AY34" s="36">
        <f t="shared" si="24"/>
        <v>0.230081605864594</v>
      </c>
      <c r="AZ34" s="35">
        <v>34862.3951016361</v>
      </c>
      <c r="BA34" s="36">
        <f t="shared" si="25"/>
        <v>-0.348226823366818</v>
      </c>
      <c r="BB34" s="35">
        <v>51978.3247361592</v>
      </c>
      <c r="BC34" s="36">
        <f t="shared" si="26"/>
        <v>-0.199502130339341</v>
      </c>
      <c r="BD34" s="35">
        <v>60225.8826735945</v>
      </c>
      <c r="BE34" s="36">
        <f t="shared" si="27"/>
        <v>-0.0889115579025455</v>
      </c>
      <c r="BF34" s="35">
        <v>64915.1207242829</v>
      </c>
      <c r="BG34" s="36">
        <f t="shared" si="28"/>
        <v>-0.112918251718873</v>
      </c>
      <c r="BH34" s="35">
        <v>54733.8977701796</v>
      </c>
      <c r="BI34" s="36">
        <f t="shared" si="29"/>
        <v>-0.172380655560565</v>
      </c>
      <c r="BJ34" s="35">
        <v>57512.9552213646</v>
      </c>
      <c r="BK34" s="36">
        <f t="shared" si="30"/>
        <v>-0.241118946142142</v>
      </c>
      <c r="BL34" s="35">
        <v>67795.6422875937</v>
      </c>
      <c r="BM34" s="36">
        <f t="shared" si="31"/>
        <v>-0.195013900294999</v>
      </c>
      <c r="BN34" s="35">
        <v>66262.5659630507</v>
      </c>
      <c r="BO34" s="36">
        <f t="shared" si="32"/>
        <v>-0.201068465617705</v>
      </c>
      <c r="BP34" s="35">
        <v>71060.3457725502</v>
      </c>
      <c r="BQ34" s="36">
        <f t="shared" si="33"/>
        <v>-0.189665803445723</v>
      </c>
      <c r="BR34" s="35">
        <v>75353.1449488926</v>
      </c>
      <c r="BS34" s="36">
        <f t="shared" si="34"/>
        <v>-0.190815623177598</v>
      </c>
      <c r="BT34" s="35">
        <v>81620.0978596632</v>
      </c>
      <c r="BU34" s="36">
        <f t="shared" si="35"/>
        <v>-0.135907174772907</v>
      </c>
      <c r="BV34" s="35">
        <f t="shared" si="36"/>
        <v>747995.154438151</v>
      </c>
      <c r="BW34" s="36">
        <f t="shared" si="37"/>
        <v>-0.161621944900971</v>
      </c>
      <c r="BX34" s="36"/>
      <c r="BY34" s="50">
        <v>50138.772163684</v>
      </c>
      <c r="BZ34" s="721">
        <f t="shared" si="38"/>
        <v>-0.229635373142645</v>
      </c>
      <c r="CA34" s="50">
        <v>53488.5391904624</v>
      </c>
      <c r="CB34" s="721">
        <f t="shared" si="39"/>
        <v>0.200307818247655</v>
      </c>
      <c r="CC34" s="41">
        <v>64932.4960204997</v>
      </c>
      <c r="CD34" s="721">
        <f t="shared" si="40"/>
        <v>-0.0847413432252347</v>
      </c>
      <c r="CE34" s="41">
        <v>66103.2232336808</v>
      </c>
      <c r="CF34" s="721">
        <f t="shared" si="41"/>
        <v>-0.069149083456112</v>
      </c>
      <c r="CG34" s="41">
        <v>73178.2846959337</v>
      </c>
      <c r="CH34" s="721">
        <f t="shared" si="42"/>
        <v>0.00131254147952165</v>
      </c>
      <c r="CI34" s="50">
        <v>66134.1450485937</v>
      </c>
      <c r="CJ34" s="721">
        <f t="shared" si="43"/>
        <v>-0.0453092933156657</v>
      </c>
      <c r="CK34" s="702">
        <v>75786.5213909228</v>
      </c>
      <c r="CL34" s="721">
        <f t="shared" si="44"/>
        <v>0.0287903681991752</v>
      </c>
      <c r="CM34" s="41">
        <v>84219.6434353816</v>
      </c>
      <c r="CN34" s="721">
        <f t="shared" si="45"/>
        <v>0.0281842857661998</v>
      </c>
      <c r="CO34" s="41">
        <v>82938.9792634515</v>
      </c>
      <c r="CP34" s="721">
        <f t="shared" si="46"/>
        <v>-0.0428210670889473</v>
      </c>
      <c r="CQ34" s="41">
        <v>87692.6409803693</v>
      </c>
      <c r="CR34" s="721">
        <f t="shared" si="47"/>
        <v>-0.0500224149249627</v>
      </c>
      <c r="CS34" s="41">
        <v>93122.3428272281</v>
      </c>
      <c r="CT34" s="721">
        <f t="shared" si="48"/>
        <v>0.189372201180916</v>
      </c>
      <c r="CU34" s="41">
        <v>94457.5576567397</v>
      </c>
      <c r="CV34" s="721">
        <f t="shared" si="49"/>
        <v>0.206425760537471</v>
      </c>
      <c r="CW34" s="41">
        <f t="shared" si="50"/>
        <v>892193.145906947</v>
      </c>
      <c r="CX34" s="721">
        <f t="shared" si="51"/>
        <v>-0.00446416844340713</v>
      </c>
      <c r="CY34" s="721"/>
      <c r="CZ34" s="721">
        <f t="shared" si="52"/>
        <v>0.0143382864839305</v>
      </c>
      <c r="DA34" s="721">
        <f t="shared" si="53"/>
        <v>0.0619174173129795</v>
      </c>
      <c r="DB34" s="721"/>
      <c r="DC34" s="721"/>
      <c r="DD34" s="721"/>
      <c r="DE34" s="721"/>
      <c r="DF34" s="721"/>
      <c r="DG34" s="721"/>
      <c r="DH34" s="721"/>
      <c r="DI34" s="721"/>
      <c r="DJ34" s="721"/>
      <c r="DK34" s="721"/>
      <c r="DL34" s="21"/>
      <c r="DM34" s="745">
        <v>65084.468335756</v>
      </c>
      <c r="DN34" s="745">
        <v>44562.3517378659</v>
      </c>
      <c r="DO34" s="727">
        <v>70944.4216013341</v>
      </c>
      <c r="DP34" s="727">
        <v>71013.7596244867</v>
      </c>
      <c r="DQ34" s="727">
        <v>73082.3610656137</v>
      </c>
      <c r="DR34" s="727">
        <v>69272.8488771817</v>
      </c>
      <c r="DS34" s="727">
        <v>73665.6599182414</v>
      </c>
      <c r="DT34" s="727">
        <v>81911.0392964442</v>
      </c>
      <c r="DU34" s="727">
        <v>86649.3989908559</v>
      </c>
      <c r="DV34" s="727">
        <v>92310.2211653158</v>
      </c>
      <c r="DW34" s="727">
        <v>89402.0005802071</v>
      </c>
      <c r="DX34" s="727">
        <v>78295.3752700524</v>
      </c>
      <c r="DY34" s="728">
        <v>-0.091018869134903</v>
      </c>
      <c r="DZ34" s="727">
        <f t="shared" si="65"/>
        <v>896193.906463355</v>
      </c>
      <c r="EA34" s="729">
        <f t="shared" si="66"/>
        <v>-0.0680366512834448</v>
      </c>
      <c r="EB34" s="741"/>
      <c r="EC34" s="35">
        <v>87025.2681252612</v>
      </c>
      <c r="ED34" s="35">
        <v>41048.9428090024</v>
      </c>
      <c r="EE34" s="35">
        <v>64505.0361607894</v>
      </c>
      <c r="EF34" s="35">
        <v>79109.0744723417</v>
      </c>
      <c r="EG34" s="35">
        <v>80142.4180551686</v>
      </c>
      <c r="EH34" s="35">
        <v>83332.6982397248</v>
      </c>
      <c r="EI34" s="35">
        <v>77629.7474085572</v>
      </c>
      <c r="EJ34" s="35">
        <v>90252.6042874332</v>
      </c>
      <c r="EK34" s="35">
        <v>90445.7704498804</v>
      </c>
      <c r="EL34" s="35">
        <v>83221.3457942541</v>
      </c>
      <c r="EM34" s="35">
        <v>98771.0408165959</v>
      </c>
      <c r="EN34" s="35">
        <v>86135.3141572224</v>
      </c>
      <c r="EO34" s="744">
        <f t="shared" si="68"/>
        <v>961619.260776231</v>
      </c>
      <c r="EP34" s="36"/>
      <c r="EQ34" s="740">
        <f>SUM(EC34:EN34)</f>
        <v>961619.260776231</v>
      </c>
    </row>
    <row r="35" s="206" customFormat="1" ht="27" customHeight="1" spans="1:147">
      <c r="A35" s="707" t="s">
        <v>97</v>
      </c>
      <c r="B35" s="707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127"/>
      <c r="R35" s="127"/>
      <c r="S35" s="35">
        <f t="shared" si="7"/>
        <v>20461.7001948525</v>
      </c>
      <c r="T35" s="36">
        <f t="shared" si="8"/>
        <v>-0.12609351887807</v>
      </c>
      <c r="U35" s="36"/>
      <c r="V35" s="35">
        <v>2536.81416856868</v>
      </c>
      <c r="W35" s="36">
        <f t="shared" si="9"/>
        <v>-0.0869889784754516</v>
      </c>
      <c r="X35" s="35">
        <v>2415.67721055242</v>
      </c>
      <c r="Y35" s="36">
        <f t="shared" si="10"/>
        <v>0.639199175103013</v>
      </c>
      <c r="Z35" s="35">
        <v>3281.86491555787</v>
      </c>
      <c r="AA35" s="36">
        <f t="shared" si="11"/>
        <v>0.0771614708623696</v>
      </c>
      <c r="AB35" s="35">
        <v>3207.20129120474</v>
      </c>
      <c r="AC35" s="36">
        <f t="shared" si="12"/>
        <v>0.101338613483215</v>
      </c>
      <c r="AD35" s="35">
        <v>3219.98692089013</v>
      </c>
      <c r="AE35" s="36">
        <f t="shared" si="13"/>
        <v>0.0677537397426597</v>
      </c>
      <c r="AF35" s="35">
        <v>2952.50472774043</v>
      </c>
      <c r="AG35" s="36">
        <f t="shared" si="14"/>
        <v>0.0583553216328139</v>
      </c>
      <c r="AH35" s="35">
        <v>2905.09592340529</v>
      </c>
      <c r="AI35" s="36">
        <f t="shared" si="15"/>
        <v>0.0432055091096673</v>
      </c>
      <c r="AJ35" s="35">
        <v>2894.91645721288</v>
      </c>
      <c r="AK35" s="36">
        <f t="shared" si="16"/>
        <v>0.0191891213989102</v>
      </c>
      <c r="AL35" s="35">
        <v>2911.49789558364</v>
      </c>
      <c r="AM35" s="36">
        <f t="shared" si="17"/>
        <v>0.0177864155975658</v>
      </c>
      <c r="AN35" s="35">
        <v>2788.64522946265</v>
      </c>
      <c r="AO35" s="36">
        <f t="shared" si="18"/>
        <v>-0.0363466109563149</v>
      </c>
      <c r="AP35" s="35">
        <v>3042.37113075798</v>
      </c>
      <c r="AQ35" s="36">
        <f t="shared" si="19"/>
        <v>-0.00316685368191461</v>
      </c>
      <c r="AR35" s="35">
        <v>3198.31629487258</v>
      </c>
      <c r="AS35" s="36">
        <f t="shared" si="20"/>
        <v>-0.0323107688106435</v>
      </c>
      <c r="AT35" s="35">
        <f t="shared" si="21"/>
        <v>35354.8921658093</v>
      </c>
      <c r="AU35" s="36">
        <f t="shared" si="22"/>
        <v>0.0474522869868923</v>
      </c>
      <c r="AV35" s="36"/>
      <c r="AW35" s="35">
        <f t="shared" si="23"/>
        <v>30448.1176336534</v>
      </c>
      <c r="AX35" s="35">
        <v>2778.51428817661</v>
      </c>
      <c r="AY35" s="36">
        <f t="shared" si="24"/>
        <v>0.662811592073875</v>
      </c>
      <c r="AZ35" s="35">
        <v>1473.69352501084</v>
      </c>
      <c r="BA35" s="36">
        <f t="shared" si="25"/>
        <v>-0.375792670222952</v>
      </c>
      <c r="BB35" s="35">
        <v>3046.77154199586</v>
      </c>
      <c r="BC35" s="36">
        <f t="shared" si="26"/>
        <v>0.067069846653721</v>
      </c>
      <c r="BD35" s="35">
        <v>2912.09374840794</v>
      </c>
      <c r="BE35" s="36">
        <f t="shared" si="27"/>
        <v>0.0871812145971729</v>
      </c>
      <c r="BF35" s="35">
        <v>3015.6643812516</v>
      </c>
      <c r="BG35" s="36">
        <f t="shared" si="28"/>
        <v>0.060511550110091</v>
      </c>
      <c r="BH35" s="35">
        <v>2789.71028669781</v>
      </c>
      <c r="BI35" s="36">
        <f t="shared" si="29"/>
        <v>-0.0022734450962909</v>
      </c>
      <c r="BJ35" s="35">
        <v>2784.77816502778</v>
      </c>
      <c r="BK35" s="36">
        <f t="shared" si="30"/>
        <v>0.0043488840391761</v>
      </c>
      <c r="BL35" s="35">
        <v>2840.41145694275</v>
      </c>
      <c r="BM35" s="36">
        <f t="shared" si="31"/>
        <v>-0.00345501006197058</v>
      </c>
      <c r="BN35" s="35">
        <v>2860.61775925181</v>
      </c>
      <c r="BO35" s="36">
        <f t="shared" si="32"/>
        <v>0.0482184277141164</v>
      </c>
      <c r="BP35" s="35">
        <v>2893.82599715657</v>
      </c>
      <c r="BQ35" s="36">
        <f t="shared" si="33"/>
        <v>0.0313354653824784</v>
      </c>
      <c r="BR35" s="35">
        <v>3052.03648373383</v>
      </c>
      <c r="BS35" s="36">
        <f t="shared" si="34"/>
        <v>0.0285216644367667</v>
      </c>
      <c r="BT35" s="35">
        <v>3305.10683780332</v>
      </c>
      <c r="BU35" s="36">
        <f t="shared" si="35"/>
        <v>0.0888644266680814</v>
      </c>
      <c r="BV35" s="35">
        <f t="shared" si="36"/>
        <v>33753.2244714567</v>
      </c>
      <c r="BW35" s="36">
        <f t="shared" si="37"/>
        <v>0.0428585817218752</v>
      </c>
      <c r="BX35" s="36"/>
      <c r="BY35" s="50">
        <v>1670.97360965064</v>
      </c>
      <c r="BZ35" s="721">
        <f t="shared" si="38"/>
        <v>-0.115991825718333</v>
      </c>
      <c r="CA35" s="50">
        <v>2360.90390918224</v>
      </c>
      <c r="CB35" s="721">
        <f t="shared" si="39"/>
        <v>0.520190197388972</v>
      </c>
      <c r="CC35" s="41">
        <v>2855.26908247889</v>
      </c>
      <c r="CD35" s="721">
        <f t="shared" si="40"/>
        <v>0.18477434167299</v>
      </c>
      <c r="CE35" s="41">
        <v>2678.57254090519</v>
      </c>
      <c r="CF35" s="721">
        <f t="shared" si="41"/>
        <v>0.250971211811201</v>
      </c>
      <c r="CG35" s="41">
        <v>2843.59409469755</v>
      </c>
      <c r="CH35" s="721">
        <f t="shared" si="42"/>
        <v>0.139945665733643</v>
      </c>
      <c r="CI35" s="50">
        <v>2796.06699148851</v>
      </c>
      <c r="CJ35" s="721">
        <f t="shared" si="43"/>
        <v>0.220710831611103</v>
      </c>
      <c r="CK35" s="702">
        <v>2772.71992758958</v>
      </c>
      <c r="CL35" s="721">
        <f t="shared" si="44"/>
        <v>0.223834450978129</v>
      </c>
      <c r="CM35" s="41">
        <v>2850.2591309193</v>
      </c>
      <c r="CN35" s="721">
        <f t="shared" si="45"/>
        <v>0.296767129218356</v>
      </c>
      <c r="CO35" s="41">
        <v>2729.02830518831</v>
      </c>
      <c r="CP35" s="721">
        <f t="shared" si="46"/>
        <v>0.164854418663236</v>
      </c>
      <c r="CQ35" s="41">
        <v>2805.90175969889</v>
      </c>
      <c r="CR35" s="721">
        <f t="shared" si="47"/>
        <v>0.244200156792956</v>
      </c>
      <c r="CS35" s="41">
        <v>2967.40126072616</v>
      </c>
      <c r="CT35" s="721">
        <f t="shared" si="48"/>
        <v>0.205239053788921</v>
      </c>
      <c r="CU35" s="41">
        <v>3035.37038850367</v>
      </c>
      <c r="CV35" s="721">
        <f t="shared" si="49"/>
        <v>0.23284538001572</v>
      </c>
      <c r="CW35" s="41">
        <f t="shared" si="50"/>
        <v>32366.0610010289</v>
      </c>
      <c r="CX35" s="721">
        <f t="shared" si="51"/>
        <v>0.217962360130844</v>
      </c>
      <c r="CY35" s="721"/>
      <c r="CZ35" s="721">
        <f t="shared" si="52"/>
        <v>0.0229052702366503</v>
      </c>
      <c r="DA35" s="721">
        <f t="shared" si="53"/>
        <v>0.0575570760697628</v>
      </c>
      <c r="DB35" s="721"/>
      <c r="DC35" s="721"/>
      <c r="DD35" s="721"/>
      <c r="DE35" s="721"/>
      <c r="DF35" s="721"/>
      <c r="DG35" s="721"/>
      <c r="DH35" s="721"/>
      <c r="DI35" s="721"/>
      <c r="DJ35" s="721"/>
      <c r="DK35" s="721"/>
      <c r="DL35" s="222"/>
      <c r="DM35" s="742">
        <v>1890.22416111531</v>
      </c>
      <c r="DN35" s="742">
        <v>1553.03192537174</v>
      </c>
      <c r="DO35" s="731">
        <v>2409.9687020965</v>
      </c>
      <c r="DP35" s="731">
        <v>2141.19439009876</v>
      </c>
      <c r="DQ35" s="731">
        <v>2494.49967676089</v>
      </c>
      <c r="DR35" s="731">
        <v>2290.52361876583</v>
      </c>
      <c r="DS35" s="731">
        <v>2265.60048654745</v>
      </c>
      <c r="DT35" s="731">
        <v>2197.97299507224</v>
      </c>
      <c r="DU35" s="731">
        <v>2342.80632967001</v>
      </c>
      <c r="DV35" s="731">
        <v>2255.18518413578</v>
      </c>
      <c r="DW35" s="731">
        <v>2270.84921586744</v>
      </c>
      <c r="DX35" s="731">
        <v>2462.08521985536</v>
      </c>
      <c r="DY35" s="732">
        <v>-0.127108516749669</v>
      </c>
      <c r="DZ35" s="731">
        <f t="shared" si="65"/>
        <v>26573.9419053573</v>
      </c>
      <c r="EA35" s="733">
        <f t="shared" si="66"/>
        <v>-0.141540846135427</v>
      </c>
      <c r="EB35" s="743"/>
      <c r="EC35" s="35">
        <v>2696.87908434695</v>
      </c>
      <c r="ED35" s="737">
        <v>1250.6138777513</v>
      </c>
      <c r="EE35" s="737">
        <v>2289.17115477665</v>
      </c>
      <c r="EF35" s="737">
        <v>2822.29014653925</v>
      </c>
      <c r="EG35" s="737">
        <v>2890.39332162065</v>
      </c>
      <c r="EH35" s="737">
        <v>2996.77814579438</v>
      </c>
      <c r="EI35" s="737">
        <v>2629.02695865643</v>
      </c>
      <c r="EJ35" s="737">
        <v>2477.1876991097</v>
      </c>
      <c r="EK35" s="737">
        <v>2656.8849564941</v>
      </c>
      <c r="EL35" s="737">
        <v>2554.75556208109</v>
      </c>
      <c r="EM35" s="737">
        <v>2870.80515583477</v>
      </c>
      <c r="EN35" s="737">
        <v>2820.60859465308</v>
      </c>
      <c r="EO35" s="724">
        <f t="shared" si="68"/>
        <v>30955.3946576584</v>
      </c>
      <c r="EP35" s="36"/>
      <c r="EQ35" s="740">
        <f>SUM(EC35:EN35)</f>
        <v>30955.3946576584</v>
      </c>
    </row>
    <row r="36" ht="27" customHeight="1" spans="1:147">
      <c r="A36" s="45"/>
      <c r="B36" s="707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127"/>
      <c r="R36" s="127"/>
      <c r="S36" s="35">
        <f t="shared" si="7"/>
        <v>2202.1737</v>
      </c>
      <c r="T36" s="36">
        <f t="shared" si="8"/>
        <v>-0.363707471374729</v>
      </c>
      <c r="U36" s="36"/>
      <c r="V36" s="35">
        <v>414.6732</v>
      </c>
      <c r="W36" s="36">
        <f t="shared" si="9"/>
        <v>0.0793114864696036</v>
      </c>
      <c r="X36" s="35">
        <v>374.1426</v>
      </c>
      <c r="Y36" s="36">
        <f t="shared" si="10"/>
        <v>0.303174144290685</v>
      </c>
      <c r="Z36" s="35">
        <v>401.7766</v>
      </c>
      <c r="AA36" s="36">
        <f t="shared" si="11"/>
        <v>0.0286966233332633</v>
      </c>
      <c r="AB36" s="35">
        <v>427.8546</v>
      </c>
      <c r="AC36" s="36">
        <f t="shared" si="12"/>
        <v>0.0560793454229689</v>
      </c>
      <c r="AD36" s="35">
        <v>490.078</v>
      </c>
      <c r="AE36" s="36">
        <f t="shared" si="13"/>
        <v>0.194226031982131</v>
      </c>
      <c r="AF36" s="35">
        <v>478.4508</v>
      </c>
      <c r="AG36" s="36">
        <f t="shared" si="14"/>
        <v>0.087065027032873</v>
      </c>
      <c r="AH36" s="35">
        <v>450.7203</v>
      </c>
      <c r="AI36" s="36">
        <f t="shared" si="15"/>
        <v>0.055736240385023</v>
      </c>
      <c r="AJ36" s="35">
        <v>423.2493</v>
      </c>
      <c r="AK36" s="36">
        <f t="shared" si="16"/>
        <v>-0.0350138370010848</v>
      </c>
      <c r="AL36" s="35">
        <v>413.3566</v>
      </c>
      <c r="AM36" s="36">
        <f t="shared" si="17"/>
        <v>-0.0689904558123821</v>
      </c>
      <c r="AN36" s="35">
        <v>448.0272</v>
      </c>
      <c r="AO36" s="36">
        <f t="shared" si="18"/>
        <v>0.00731699420468157</v>
      </c>
      <c r="AP36" s="35">
        <v>445.1043</v>
      </c>
      <c r="AQ36" s="36">
        <f t="shared" si="19"/>
        <v>-0.0267176649146588</v>
      </c>
      <c r="AR36" s="35">
        <v>468.898</v>
      </c>
      <c r="AS36" s="36">
        <f t="shared" si="20"/>
        <v>-0.152151869071005</v>
      </c>
      <c r="AT36" s="35">
        <f t="shared" si="21"/>
        <v>5236.3315</v>
      </c>
      <c r="AU36" s="36">
        <f t="shared" si="22"/>
        <v>0.0303338957899772</v>
      </c>
      <c r="AV36" s="36"/>
      <c r="AW36" s="35">
        <f t="shared" si="23"/>
        <v>4529.1247</v>
      </c>
      <c r="AX36" s="35">
        <v>384.2016</v>
      </c>
      <c r="AY36" s="36">
        <f t="shared" si="24"/>
        <v>0.738724473055992</v>
      </c>
      <c r="AZ36" s="35">
        <v>287.101</v>
      </c>
      <c r="BA36" s="36">
        <f t="shared" si="25"/>
        <v>0.11581636004171</v>
      </c>
      <c r="BB36" s="35">
        <v>390.5686</v>
      </c>
      <c r="BC36" s="36">
        <f t="shared" si="26"/>
        <v>0.287912467671821</v>
      </c>
      <c r="BD36" s="35">
        <v>405.1349</v>
      </c>
      <c r="BE36" s="36">
        <f t="shared" si="27"/>
        <v>0.326324270298036</v>
      </c>
      <c r="BF36" s="35">
        <v>410.3729</v>
      </c>
      <c r="BG36" s="36">
        <f t="shared" si="28"/>
        <v>0.573018724145439</v>
      </c>
      <c r="BH36" s="35">
        <v>440.1308</v>
      </c>
      <c r="BI36" s="36">
        <f t="shared" si="29"/>
        <v>0.465298883740782</v>
      </c>
      <c r="BJ36" s="35">
        <v>426.9251</v>
      </c>
      <c r="BK36" s="36">
        <f t="shared" si="30"/>
        <v>0.352246247016697</v>
      </c>
      <c r="BL36" s="35">
        <v>438.6066</v>
      </c>
      <c r="BM36" s="36">
        <f t="shared" si="31"/>
        <v>0.377069222589247</v>
      </c>
      <c r="BN36" s="35">
        <v>443.9875</v>
      </c>
      <c r="BO36" s="36">
        <f t="shared" si="32"/>
        <v>0.422481544063888</v>
      </c>
      <c r="BP36" s="35">
        <v>444.7728</v>
      </c>
      <c r="BQ36" s="36">
        <f t="shared" si="33"/>
        <v>0.373318022535773</v>
      </c>
      <c r="BR36" s="35">
        <v>457.3229</v>
      </c>
      <c r="BS36" s="36">
        <f t="shared" si="34"/>
        <v>0.239393727512892</v>
      </c>
      <c r="BT36" s="35">
        <v>553.0448</v>
      </c>
      <c r="BU36" s="36">
        <f t="shared" si="35"/>
        <v>0.394966520993176</v>
      </c>
      <c r="BV36" s="35">
        <f t="shared" si="36"/>
        <v>5082.1695</v>
      </c>
      <c r="BW36" s="36">
        <f t="shared" si="37"/>
        <v>0.379564905929678</v>
      </c>
      <c r="BX36" s="36"/>
      <c r="BY36" s="50">
        <v>220.9675</v>
      </c>
      <c r="BZ36" s="721">
        <f t="shared" si="38"/>
        <v>4.42897681903615</v>
      </c>
      <c r="CA36" s="50">
        <v>257.3013</v>
      </c>
      <c r="CB36" s="721">
        <f t="shared" si="39"/>
        <v>5.10837624368808</v>
      </c>
      <c r="CC36" s="41">
        <v>303.2571</v>
      </c>
      <c r="CD36" s="721">
        <f t="shared" si="40"/>
        <v>6.04596907978197</v>
      </c>
      <c r="CE36" s="41">
        <v>305.4569</v>
      </c>
      <c r="CF36" s="721">
        <f t="shared" si="41"/>
        <v>4.89172168633101</v>
      </c>
      <c r="CG36" s="41">
        <v>260.8824</v>
      </c>
      <c r="CH36" s="721">
        <f t="shared" si="42"/>
        <v>3.45606999012732</v>
      </c>
      <c r="CI36" s="50">
        <v>300.3693</v>
      </c>
      <c r="CJ36" s="721">
        <f t="shared" si="43"/>
        <v>5.25955857682601</v>
      </c>
      <c r="CK36" s="702">
        <v>315.7155</v>
      </c>
      <c r="CL36" s="721">
        <f t="shared" si="44"/>
        <v>6.42697480316072</v>
      </c>
      <c r="CM36" s="41">
        <v>318.5073</v>
      </c>
      <c r="CN36" s="721">
        <f t="shared" si="45"/>
        <v>6.55992736939546</v>
      </c>
      <c r="CO36" s="41">
        <v>312.1218</v>
      </c>
      <c r="CP36" s="721">
        <f t="shared" si="46"/>
        <v>6.32417230431324</v>
      </c>
      <c r="CQ36" s="41">
        <v>323.8673</v>
      </c>
      <c r="CR36" s="721">
        <f t="shared" si="47"/>
        <v>8.16780273221878</v>
      </c>
      <c r="CS36" s="41">
        <v>368.9892</v>
      </c>
      <c r="CT36" s="721">
        <f t="shared" si="48"/>
        <v>9.39854359766322</v>
      </c>
      <c r="CU36" s="41">
        <v>396.4574</v>
      </c>
      <c r="CV36" s="721">
        <f t="shared" si="49"/>
        <v>10.1726293303875</v>
      </c>
      <c r="CW36" s="41">
        <f t="shared" si="50"/>
        <v>3683.893</v>
      </c>
      <c r="CX36" s="721">
        <f t="shared" si="51"/>
        <v>6.19011537308492</v>
      </c>
      <c r="CY36" s="721"/>
      <c r="CZ36" s="721">
        <f t="shared" si="52"/>
        <v>0.0744417451784498</v>
      </c>
      <c r="DA36" s="721">
        <f t="shared" si="53"/>
        <v>0.13932218535184</v>
      </c>
      <c r="DB36" s="721"/>
      <c r="DC36" s="721"/>
      <c r="DD36" s="721"/>
      <c r="DE36" s="721"/>
      <c r="DF36" s="721"/>
      <c r="DG36" s="721"/>
      <c r="DH36" s="721"/>
      <c r="DI36" s="721"/>
      <c r="DJ36" s="721"/>
      <c r="DK36" s="721"/>
      <c r="DL36" s="735" t="s">
        <v>97</v>
      </c>
      <c r="DM36" s="742">
        <v>40.7015</v>
      </c>
      <c r="DN36" s="742">
        <v>42.1227</v>
      </c>
      <c r="DO36" s="731">
        <v>43.0398</v>
      </c>
      <c r="DP36" s="731">
        <v>51.8451</v>
      </c>
      <c r="DQ36" s="731">
        <v>58.5454</v>
      </c>
      <c r="DR36" s="731">
        <v>47.9857</v>
      </c>
      <c r="DS36" s="731">
        <v>42.5093</v>
      </c>
      <c r="DT36" s="731">
        <v>42.131</v>
      </c>
      <c r="DU36" s="731">
        <v>42.6153</v>
      </c>
      <c r="DV36" s="731">
        <v>35.3266</v>
      </c>
      <c r="DW36" s="731">
        <v>30.0481</v>
      </c>
      <c r="DX36" s="731">
        <v>35.4847</v>
      </c>
      <c r="DY36" s="732">
        <v>-0.449158712245281</v>
      </c>
      <c r="DZ36" s="731">
        <f t="shared" si="65"/>
        <v>512.3552</v>
      </c>
      <c r="EA36" s="733">
        <f t="shared" si="66"/>
        <v>-0.219150648444341</v>
      </c>
      <c r="EB36" s="733"/>
      <c r="EC36" s="35">
        <v>46.2984</v>
      </c>
      <c r="ED36" s="737">
        <v>32.3507</v>
      </c>
      <c r="EE36" s="737">
        <v>42.94563</v>
      </c>
      <c r="EF36" s="737">
        <v>48.38992</v>
      </c>
      <c r="EG36" s="737">
        <v>68.3686</v>
      </c>
      <c r="EH36" s="737">
        <v>47.3707</v>
      </c>
      <c r="EI36" s="737">
        <v>46.8497</v>
      </c>
      <c r="EJ36" s="737">
        <v>48.8398</v>
      </c>
      <c r="EK36" s="737">
        <v>58.6177</v>
      </c>
      <c r="EL36" s="737">
        <v>84.2941</v>
      </c>
      <c r="EM36" s="737">
        <v>67.4068</v>
      </c>
      <c r="EN36" s="737">
        <v>64.4191</v>
      </c>
      <c r="EO36" s="717">
        <f t="shared" si="68"/>
        <v>656.15115</v>
      </c>
      <c r="EP36" s="36"/>
      <c r="EQ36" s="740">
        <f>SUM(EC36:EN36)</f>
        <v>656.15115</v>
      </c>
    </row>
    <row r="37" s="206" customFormat="1" ht="27" customHeight="1" spans="1:147">
      <c r="A37" s="45"/>
      <c r="B37" s="707" t="s">
        <v>90</v>
      </c>
      <c r="C37" s="35">
        <v>2679.70701706372</v>
      </c>
      <c r="D37" s="36">
        <f t="shared" ref="D37:D68" si="83">C37/V37-1</f>
        <v>0.262737516853605</v>
      </c>
      <c r="E37" s="35">
        <v>1700.97636670592</v>
      </c>
      <c r="F37" s="36">
        <f t="shared" ref="F37:F68" si="84">E37/X37-1</f>
        <v>-0.166814827476448</v>
      </c>
      <c r="G37" s="35">
        <v>2852.51140524716</v>
      </c>
      <c r="H37" s="36">
        <f t="shared" ref="H37:H68" si="85">G37/Z37-1</f>
        <v>-0.00957502246085407</v>
      </c>
      <c r="I37" s="35">
        <v>2848.61854549537</v>
      </c>
      <c r="J37" s="36">
        <f t="shared" ref="J37:J68" si="86">I37/AB37-1</f>
        <v>0.0249237903676578</v>
      </c>
      <c r="K37" s="35">
        <v>2882.97534587013</v>
      </c>
      <c r="L37" s="36">
        <f t="shared" ref="L37:L68" si="87">K37/AD37-1</f>
        <v>0.0560701581685332</v>
      </c>
      <c r="M37" s="35">
        <v>2715.81247237318</v>
      </c>
      <c r="N37" s="36">
        <f t="shared" ref="N37:N68" si="88">M37/AF37-1</f>
        <v>0.0977175727343784</v>
      </c>
      <c r="O37" s="35">
        <v>2578.92534209697</v>
      </c>
      <c r="P37" s="36">
        <f t="shared" ref="P37:P68" si="89">O37/AH37-1</f>
        <v>0.0507459891240589</v>
      </c>
      <c r="Q37" s="127"/>
      <c r="R37" s="127"/>
      <c r="S37" s="35">
        <f t="shared" ref="S37:S68" si="90">C37+E37+G37+I37+K37+M37+O37+Q37</f>
        <v>18259.5264948524</v>
      </c>
      <c r="T37" s="36">
        <f t="shared" ref="T37:T68" si="91">S37/SUM(V37,X37,Z37,AB37,AD37,AF37,AH37,AJ37)-1</f>
        <v>-0.0848784571803161</v>
      </c>
      <c r="U37" s="36"/>
      <c r="V37" s="35">
        <v>2122.14096856868</v>
      </c>
      <c r="W37" s="36">
        <f t="shared" ref="W37:W68" si="92">V37/AX37-1</f>
        <v>-0.113674258567791</v>
      </c>
      <c r="X37" s="35">
        <v>2041.53461055242</v>
      </c>
      <c r="Y37" s="36">
        <f t="shared" ref="Y37:Y68" si="93">X37/AZ37-1</f>
        <v>0.720501829837306</v>
      </c>
      <c r="Z37" s="35">
        <v>2880.08831555787</v>
      </c>
      <c r="AA37" s="36">
        <f t="shared" ref="AA37:AA68" si="94">Z37/BB37-1</f>
        <v>0.0842877515201392</v>
      </c>
      <c r="AB37" s="35">
        <v>2779.34669120474</v>
      </c>
      <c r="AC37" s="36">
        <f t="shared" ref="AC37:AC68" si="95">AB37/BD37-1</f>
        <v>0.108652698056764</v>
      </c>
      <c r="AD37" s="35">
        <v>2729.90892089013</v>
      </c>
      <c r="AE37" s="36">
        <f t="shared" ref="AE37:AE68" si="96">AD37/BF37-1</f>
        <v>0.0478324366142182</v>
      </c>
      <c r="AF37" s="35">
        <v>2474.05392774043</v>
      </c>
      <c r="AG37" s="36">
        <f t="shared" ref="AG37:AG68" si="97">AF37/BH37-1</f>
        <v>0.0529773271120788</v>
      </c>
      <c r="AH37" s="35">
        <v>2454.37562340529</v>
      </c>
      <c r="AI37" s="36">
        <f t="shared" ref="AI37:AI68" si="98">AH37/BJ37-1</f>
        <v>0.040936629940667</v>
      </c>
      <c r="AJ37" s="35">
        <v>2471.66715721288</v>
      </c>
      <c r="AK37" s="36">
        <f t="shared" ref="AK37:AK68" si="99">AJ37/BL37-1</f>
        <v>0.0290874173512403</v>
      </c>
      <c r="AL37" s="35">
        <v>2498.14129558364</v>
      </c>
      <c r="AM37" s="36">
        <f t="shared" ref="AM37:AM68" si="100">AL37/BN37-1</f>
        <v>0.0337292128242512</v>
      </c>
      <c r="AN37" s="35">
        <v>2340.61802946265</v>
      </c>
      <c r="AO37" s="36">
        <f t="shared" ref="AO37:AO68" si="101">AN37/BP37-1</f>
        <v>-0.0442763627265494</v>
      </c>
      <c r="AP37" s="35">
        <v>2597.26683075798</v>
      </c>
      <c r="AQ37" s="36">
        <f t="shared" ref="AQ37:AQ68" si="102">AP37/BR37-1</f>
        <v>0.000984018829729871</v>
      </c>
      <c r="AR37" s="35">
        <v>2729.41829487258</v>
      </c>
      <c r="AS37" s="36">
        <f t="shared" ref="AS37:AS68" si="103">AR37/BT37-1</f>
        <v>-0.00822791878224294</v>
      </c>
      <c r="AT37" s="35">
        <f t="shared" ref="AT37:AT68" si="104">V37+X37+Z37+AB37+AD37+AF37+AH37+AJ37+AL37+AN37+AP37+AR37</f>
        <v>30118.5606658093</v>
      </c>
      <c r="AU37" s="36">
        <f t="shared" ref="AU37:AU68" si="105">AT37/SUM(AX37,AZ37,BB37,BD37,BF37,BH37,BJ37,BL37,BN37,BP37,BR37,BT37)-1</f>
        <v>0.0504866561692139</v>
      </c>
      <c r="AV37" s="36"/>
      <c r="AW37" s="35">
        <f t="shared" ref="AW37:AW68" si="106">AX37+AZ37+BB37+BD37+BF37+BH37+BJ37+BL37+BN37+BP37+BR37</f>
        <v>25918.9929336534</v>
      </c>
      <c r="AX37" s="35">
        <v>2394.31268817661</v>
      </c>
      <c r="AY37" s="36">
        <f t="shared" ref="AY37:AY68" si="107">AX37/BY37-1</f>
        <v>0.651243172177729</v>
      </c>
      <c r="AZ37" s="35">
        <v>1186.59252501084</v>
      </c>
      <c r="BA37" s="36">
        <f t="shared" ref="BA37:BA68" si="108">AZ37/CA37-1</f>
        <v>-0.435923629381635</v>
      </c>
      <c r="BB37" s="35">
        <v>2656.20294199586</v>
      </c>
      <c r="BC37" s="36">
        <f t="shared" ref="BC37:BC68" si="109">BB37/CC37-1</f>
        <v>0.0408269867979869</v>
      </c>
      <c r="BD37" s="35">
        <v>2506.95884840794</v>
      </c>
      <c r="BE37" s="36">
        <f t="shared" ref="BE37:BE68" si="110">BD37/CE37-1</f>
        <v>0.0563997831355987</v>
      </c>
      <c r="BF37" s="35">
        <v>2605.2914812516</v>
      </c>
      <c r="BG37" s="36">
        <f t="shared" ref="BG37:BG68" si="111">BF37/CG37-1</f>
        <v>0.0087426663225354</v>
      </c>
      <c r="BH37" s="35">
        <v>2349.57948669781</v>
      </c>
      <c r="BI37" s="36">
        <f t="shared" ref="BI37:BI68" si="112">BH37/CI37-1</f>
        <v>-0.0585480386062106</v>
      </c>
      <c r="BJ37" s="35">
        <v>2357.85306502778</v>
      </c>
      <c r="BK37" s="36">
        <f t="shared" ref="BK37:BK68" si="113">BJ37/CK37-1</f>
        <v>-0.040354572197117</v>
      </c>
      <c r="BL37" s="35">
        <v>2401.80485694275</v>
      </c>
      <c r="BM37" s="36">
        <f t="shared" ref="BM37:BM68" si="114">BL37/CM37-1</f>
        <v>-0.0513269003658092</v>
      </c>
      <c r="BN37" s="35">
        <v>2416.63025925181</v>
      </c>
      <c r="BO37" s="36">
        <f t="shared" ref="BO37:BO68" si="115">BN37/CO37-1</f>
        <v>-0.000114297320110146</v>
      </c>
      <c r="BP37" s="35">
        <v>2449.05319715657</v>
      </c>
      <c r="BQ37" s="36">
        <f t="shared" ref="BQ37:BQ68" si="116">BP37/CQ37-1</f>
        <v>-0.0132879954238512</v>
      </c>
      <c r="BR37" s="35">
        <v>2594.71358373383</v>
      </c>
      <c r="BS37" s="36">
        <f t="shared" ref="BS37:BS68" si="117">BR37/CS37-1</f>
        <v>-0.00142336046242642</v>
      </c>
      <c r="BT37" s="35">
        <v>2752.06203780332</v>
      </c>
      <c r="BU37" s="36">
        <f t="shared" ref="BU37:BU68" si="118">BT37/CU37-1</f>
        <v>0.0428771428965562</v>
      </c>
      <c r="BV37" s="35">
        <f t="shared" ref="BV37:BV68" si="119">AX37+AZ37+BB37+BD37+BF37+BH37+BJ37+BL37+BN37+BP37+BR37+BT37</f>
        <v>28671.0549714567</v>
      </c>
      <c r="BW37" s="36">
        <f t="shared" ref="BW37:BW68" si="120">BV37/SUM(BY37,CA37,CC37,CE37,CG37,CI37,CK37,CM37,CO37,CQ37,CS37,CU37)-1</f>
        <v>-0.000387454308607649</v>
      </c>
      <c r="BX37" s="36"/>
      <c r="BY37" s="50">
        <v>1450.00610965064</v>
      </c>
      <c r="BZ37" s="721">
        <f t="shared" ref="BZ37:BZ68" si="121">BY37/DM37-1</f>
        <v>-0.216010627965894</v>
      </c>
      <c r="CA37" s="50">
        <v>2103.60260918224</v>
      </c>
      <c r="CB37" s="721">
        <f t="shared" ref="CB37:CB68" si="122">CA37/DN37-1</f>
        <v>0.392275971221683</v>
      </c>
      <c r="CC37" s="41">
        <v>2552.01198247889</v>
      </c>
      <c r="CD37" s="721">
        <f t="shared" ref="CD37:CD68" si="123">CC37/DO37-1</f>
        <v>0.0781954541255772</v>
      </c>
      <c r="CE37" s="41">
        <v>2373.11564090519</v>
      </c>
      <c r="CF37" s="721">
        <f t="shared" ref="CF37:CF68" si="124">CE37/DP37-1</f>
        <v>0.135815659043308</v>
      </c>
      <c r="CG37" s="41">
        <v>2582.71169469755</v>
      </c>
      <c r="CH37" s="721">
        <f t="shared" ref="CH37:CH68" si="125">CG37/DQ37-1</f>
        <v>0.0602463762709884</v>
      </c>
      <c r="CI37" s="50">
        <v>2495.69769148851</v>
      </c>
      <c r="CJ37" s="721">
        <f t="shared" ref="CJ37:CJ68" si="126">CI37/DR37-1</f>
        <v>0.112889851540172</v>
      </c>
      <c r="CK37" s="702">
        <v>2457.00442758958</v>
      </c>
      <c r="CL37" s="721">
        <f t="shared" ref="CL37:CL68" si="127">CK37/DS37-1</f>
        <v>0.105219813949875</v>
      </c>
      <c r="CM37" s="41">
        <v>2531.7518309193</v>
      </c>
      <c r="CN37" s="721">
        <f t="shared" ref="CN37:CN68" si="128">CM37/DT37-1</f>
        <v>0.174367990189589</v>
      </c>
      <c r="CO37" s="41">
        <v>2416.90650518831</v>
      </c>
      <c r="CP37" s="721">
        <f t="shared" ref="CP37:CP68" si="129">CO37/DU37-1</f>
        <v>0.0507416445037803</v>
      </c>
      <c r="CQ37" s="41">
        <v>2482.03445969889</v>
      </c>
      <c r="CR37" s="721">
        <f t="shared" ref="CR37:CR68" si="130">CQ37/DV37-1</f>
        <v>0.118104764617327</v>
      </c>
      <c r="CS37" s="41">
        <v>2598.41206072616</v>
      </c>
      <c r="CT37" s="721">
        <f t="shared" ref="CT37:CT68" si="131">CS37/DX37-1</f>
        <v>0.0708033891301734</v>
      </c>
      <c r="CU37" s="41">
        <v>2638.91298850367</v>
      </c>
      <c r="CV37" s="721">
        <f t="shared" ref="CV37:CV68" si="132">CU37/DX37-1</f>
        <v>0.0874937868475216</v>
      </c>
      <c r="CW37" s="41">
        <f t="shared" ref="CW37:CW68" si="133">BY37+CA37+CC37+CE37+CG37+CI37+CK37+CM37+CO37+CQ37+CS37+CU37</f>
        <v>28682.1680010289</v>
      </c>
      <c r="CX37" s="721">
        <f t="shared" ref="CX37:CX68" si="134">CW37/SUM(DM37:DX37)-1</f>
        <v>0.100553405489042</v>
      </c>
      <c r="CY37" s="721"/>
      <c r="CZ37" s="721">
        <f t="shared" ref="CZ37:CZ68" si="135">CU37/CS37-1</f>
        <v>0.0155867994879118</v>
      </c>
      <c r="DA37" s="721">
        <f t="shared" ref="DA37:DA68" si="136">CS37/CQ37-1</f>
        <v>0.0468879876234227</v>
      </c>
      <c r="DB37" s="721"/>
      <c r="DC37" s="721"/>
      <c r="DD37" s="721"/>
      <c r="DE37" s="721"/>
      <c r="DF37" s="721"/>
      <c r="DG37" s="721"/>
      <c r="DH37" s="721"/>
      <c r="DI37" s="721"/>
      <c r="DJ37" s="721"/>
      <c r="DK37" s="721"/>
      <c r="DL37" s="206"/>
      <c r="DM37" s="742">
        <v>1849.52266111531</v>
      </c>
      <c r="DN37" s="742">
        <v>1510.90922537174</v>
      </c>
      <c r="DO37" s="731">
        <v>2366.9289020965</v>
      </c>
      <c r="DP37" s="731">
        <v>2089.34929009876</v>
      </c>
      <c r="DQ37" s="731">
        <v>2435.95427676089</v>
      </c>
      <c r="DR37" s="731">
        <v>2242.53791876583</v>
      </c>
      <c r="DS37" s="731">
        <v>2223.09118654745</v>
      </c>
      <c r="DT37" s="731">
        <v>2155.84199507224</v>
      </c>
      <c r="DU37" s="731">
        <v>2300.19102967001</v>
      </c>
      <c r="DV37" s="731">
        <v>2219.85858413578</v>
      </c>
      <c r="DW37" s="731">
        <v>2240.80111586744</v>
      </c>
      <c r="DX37" s="731">
        <v>2426.60051985536</v>
      </c>
      <c r="DY37" s="732">
        <v>-0.119581391423599</v>
      </c>
      <c r="DZ37" s="731">
        <f t="shared" ref="DZ37:DZ68" si="137">SUM(DM37:DX37)</f>
        <v>26061.5867053573</v>
      </c>
      <c r="EA37" s="733">
        <f t="shared" ref="EA37:EA68" si="138">IFERROR(DZ37/SUM(EC37:EN37)-1,"")</f>
        <v>-0.139860151994552</v>
      </c>
      <c r="EB37" s="733"/>
      <c r="EC37" s="35">
        <v>2650.58068434695</v>
      </c>
      <c r="ED37" s="737">
        <v>1218.2631777513</v>
      </c>
      <c r="EE37" s="737">
        <v>2246.22552477665</v>
      </c>
      <c r="EF37" s="737">
        <v>2773.90022653925</v>
      </c>
      <c r="EG37" s="737">
        <v>2822.02472162065</v>
      </c>
      <c r="EH37" s="737">
        <v>2949.40744579438</v>
      </c>
      <c r="EI37" s="737">
        <v>2582.17725865643</v>
      </c>
      <c r="EJ37" s="737">
        <v>2428.3478991097</v>
      </c>
      <c r="EK37" s="737">
        <v>2598.2672564941</v>
      </c>
      <c r="EL37" s="737">
        <v>2470.46146208109</v>
      </c>
      <c r="EM37" s="737">
        <v>2803.39835583477</v>
      </c>
      <c r="EN37" s="737">
        <v>2756.18949465308</v>
      </c>
      <c r="EO37" s="724">
        <f t="shared" ref="EO37:EO68" si="139">SUM(EC37:EN37)</f>
        <v>30299.2435076583</v>
      </c>
      <c r="EP37" s="36"/>
      <c r="EQ37" s="740">
        <f>SUM(EC37:EN37)</f>
        <v>30299.2435076583</v>
      </c>
    </row>
    <row r="38" ht="27" customHeight="1" spans="1:147">
      <c r="A38" s="45"/>
      <c r="B38" s="707" t="s">
        <v>91</v>
      </c>
      <c r="C38" s="35">
        <f>C39+C40</f>
        <v>513760.431119983</v>
      </c>
      <c r="D38" s="36">
        <f t="shared" si="83"/>
        <v>0.149912189573617</v>
      </c>
      <c r="E38" s="35">
        <f>E39+E40</f>
        <v>361067.98462848</v>
      </c>
      <c r="F38" s="36">
        <f t="shared" si="84"/>
        <v>-0.167546155970825</v>
      </c>
      <c r="G38" s="35">
        <f>G39+G40</f>
        <v>543947.415265398</v>
      </c>
      <c r="H38" s="36">
        <f t="shared" si="85"/>
        <v>-0.0458874008270591</v>
      </c>
      <c r="I38" s="35">
        <f>I39+I40</f>
        <v>552442.407284296</v>
      </c>
      <c r="J38" s="36">
        <f t="shared" si="86"/>
        <v>-0.0180609869108109</v>
      </c>
      <c r="K38" s="35">
        <f>K39+K40</f>
        <v>560267.74925423</v>
      </c>
      <c r="L38" s="36">
        <f t="shared" si="87"/>
        <v>-0.0289098915038752</v>
      </c>
      <c r="M38" s="35">
        <f>M39+M40</f>
        <v>535610.059681616</v>
      </c>
      <c r="N38" s="36">
        <f t="shared" si="88"/>
        <v>0.00846961969843063</v>
      </c>
      <c r="O38" s="35">
        <f>O39+O40</f>
        <v>521712.638076994</v>
      </c>
      <c r="P38" s="36">
        <f t="shared" si="89"/>
        <v>0.00655662839931481</v>
      </c>
      <c r="Q38" s="127"/>
      <c r="R38" s="127"/>
      <c r="S38" s="35">
        <f t="shared" si="90"/>
        <v>3588808.685311</v>
      </c>
      <c r="T38" s="36">
        <f t="shared" si="91"/>
        <v>-0.137169403067186</v>
      </c>
      <c r="U38" s="36"/>
      <c r="V38" s="35">
        <f>V39+V40</f>
        <v>446782.315883166</v>
      </c>
      <c r="W38" s="36">
        <f t="shared" si="92"/>
        <v>-0.0912062834198507</v>
      </c>
      <c r="X38" s="35">
        <f>X39+X40</f>
        <v>433739.344491303</v>
      </c>
      <c r="Y38" s="36">
        <f t="shared" si="93"/>
        <v>0.539483372334763</v>
      </c>
      <c r="Z38" s="35">
        <f>Z39+Z40</f>
        <v>570108.198693646</v>
      </c>
      <c r="AA38" s="36">
        <f t="shared" si="94"/>
        <v>0.0958232606145724</v>
      </c>
      <c r="AB38" s="35">
        <f>AB39+AB40</f>
        <v>562603.583237117</v>
      </c>
      <c r="AC38" s="36">
        <f t="shared" si="95"/>
        <v>0.101407774877503</v>
      </c>
      <c r="AD38" s="35">
        <f>AD39+AD40</f>
        <v>576947.231109054</v>
      </c>
      <c r="AE38" s="36">
        <f t="shared" si="96"/>
        <v>0.100362506649716</v>
      </c>
      <c r="AF38" s="35">
        <f>AF39+AF40</f>
        <v>531111.74518255</v>
      </c>
      <c r="AG38" s="36">
        <f t="shared" si="97"/>
        <v>0.0979210244796294</v>
      </c>
      <c r="AH38" s="35">
        <f>AH39+AH40</f>
        <v>518314.244183809</v>
      </c>
      <c r="AI38" s="36">
        <f t="shared" si="98"/>
        <v>0.0491296295762342</v>
      </c>
      <c r="AJ38" s="35">
        <f>AJ39+AJ40</f>
        <v>519736.663787137</v>
      </c>
      <c r="AK38" s="36">
        <f t="shared" si="99"/>
        <v>0.0324995665040231</v>
      </c>
      <c r="AL38" s="35">
        <f>AL39+AL40</f>
        <v>525790.615609753</v>
      </c>
      <c r="AM38" s="36">
        <f t="shared" si="100"/>
        <v>0.0270170415766771</v>
      </c>
      <c r="AN38" s="35">
        <f>AN39+AN40</f>
        <v>487433.1547535</v>
      </c>
      <c r="AO38" s="36">
        <f t="shared" si="101"/>
        <v>-0.051738905886792</v>
      </c>
      <c r="AP38" s="35">
        <f>AP39+AP40</f>
        <v>508771.619664453</v>
      </c>
      <c r="AQ38" s="36">
        <f t="shared" si="102"/>
        <v>-0.0313515706898503</v>
      </c>
      <c r="AR38" s="35">
        <f>AR39+AR40</f>
        <v>535330.178351825</v>
      </c>
      <c r="AS38" s="36">
        <f t="shared" si="103"/>
        <v>-0.0725009555907645</v>
      </c>
      <c r="AT38" s="35">
        <f t="shared" si="104"/>
        <v>6216668.89494731</v>
      </c>
      <c r="AU38" s="36">
        <f t="shared" si="105"/>
        <v>0.0468744760899862</v>
      </c>
      <c r="AV38" s="36"/>
      <c r="AW38" s="35">
        <f t="shared" si="106"/>
        <v>5361137.56894935</v>
      </c>
      <c r="AX38" s="35">
        <f>AX39+AX40</f>
        <v>491621.264245133</v>
      </c>
      <c r="AY38" s="36">
        <f t="shared" si="107"/>
        <v>0.449084996773425</v>
      </c>
      <c r="AZ38" s="35">
        <f>AZ39+AZ40</f>
        <v>281743.442174045</v>
      </c>
      <c r="BA38" s="36">
        <f t="shared" si="108"/>
        <v>-0.341763630564865</v>
      </c>
      <c r="BB38" s="35">
        <f>BB39+BB40</f>
        <v>520255.609808749</v>
      </c>
      <c r="BC38" s="36">
        <f t="shared" si="109"/>
        <v>0.0318712181605147</v>
      </c>
      <c r="BD38" s="35">
        <f>BD39+BD40</f>
        <v>510804.078262194</v>
      </c>
      <c r="BE38" s="36">
        <f t="shared" si="110"/>
        <v>0.0510671516239765</v>
      </c>
      <c r="BF38" s="35">
        <f>BF39+BF40</f>
        <v>524324.690838195</v>
      </c>
      <c r="BG38" s="36">
        <f t="shared" si="111"/>
        <v>0.0585139375946797</v>
      </c>
      <c r="BH38" s="35">
        <f>BH39+BH40</f>
        <v>483743.122994002</v>
      </c>
      <c r="BI38" s="36">
        <f t="shared" si="112"/>
        <v>-0.00216109218689897</v>
      </c>
      <c r="BJ38" s="35">
        <f>BJ39+BJ40</f>
        <v>494042.136998044</v>
      </c>
      <c r="BK38" s="36">
        <f t="shared" si="113"/>
        <v>-0.00402228988064468</v>
      </c>
      <c r="BL38" s="35">
        <f>BL39+BL40</f>
        <v>503377.125422853</v>
      </c>
      <c r="BM38" s="36">
        <f t="shared" si="114"/>
        <v>-0.020083282632497</v>
      </c>
      <c r="BN38" s="35">
        <f>BN39+BN40</f>
        <v>511958.998073254</v>
      </c>
      <c r="BO38" s="36">
        <f t="shared" si="115"/>
        <v>0.0234494080473131</v>
      </c>
      <c r="BP38" s="35">
        <f>BP39+BP40</f>
        <v>514028.422951736</v>
      </c>
      <c r="BQ38" s="36">
        <f t="shared" si="116"/>
        <v>0.0433782618751613</v>
      </c>
      <c r="BR38" s="35">
        <f>BR39+BR40</f>
        <v>525238.677181141</v>
      </c>
      <c r="BS38" s="36">
        <f t="shared" si="117"/>
        <v>0.0271218642950846</v>
      </c>
      <c r="BT38" s="35">
        <f>BT39+BT40</f>
        <v>577175.989106059</v>
      </c>
      <c r="BU38" s="36">
        <f t="shared" si="118"/>
        <v>0.0878425766241482</v>
      </c>
      <c r="BV38" s="35">
        <f t="shared" si="119"/>
        <v>5938313.5580554</v>
      </c>
      <c r="BW38" s="36">
        <f t="shared" si="120"/>
        <v>0.027007599844957</v>
      </c>
      <c r="BX38" s="36"/>
      <c r="BY38" s="41">
        <f>BY39+BY40</f>
        <v>339263.235310414</v>
      </c>
      <c r="BZ38" s="721">
        <f t="shared" si="121"/>
        <v>-0.0808208393467964</v>
      </c>
      <c r="CA38" s="41">
        <f>CA39+CA40</f>
        <v>428027.765186878</v>
      </c>
      <c r="CB38" s="721">
        <f t="shared" si="122"/>
        <v>0.533834353237392</v>
      </c>
      <c r="CC38" s="41">
        <f>SUM(CC39:CC40)</f>
        <v>504186.569653714</v>
      </c>
      <c r="CD38" s="721">
        <f t="shared" si="123"/>
        <v>0.179093050115306</v>
      </c>
      <c r="CE38" s="41">
        <v>485986.149860134</v>
      </c>
      <c r="CF38" s="721">
        <f t="shared" si="124"/>
        <v>0.159090586860224</v>
      </c>
      <c r="CG38" s="41">
        <v>495340.375044704</v>
      </c>
      <c r="CH38" s="721">
        <f t="shared" si="125"/>
        <v>0.121840655196303</v>
      </c>
      <c r="CI38" s="41">
        <v>484790.800605471</v>
      </c>
      <c r="CJ38" s="721">
        <f t="shared" si="126"/>
        <v>0.21171643805681</v>
      </c>
      <c r="CK38" s="41">
        <f>CK39+CK40</f>
        <v>496037.342983147</v>
      </c>
      <c r="CL38" s="721">
        <f t="shared" si="127"/>
        <v>0.196287227082043</v>
      </c>
      <c r="CM38" s="41">
        <v>513693.782850394</v>
      </c>
      <c r="CN38" s="721">
        <f t="shared" si="128"/>
        <v>0.249342376844638</v>
      </c>
      <c r="CO38" s="41">
        <f>SUM(CO39:CO40)</f>
        <v>500228.92587338</v>
      </c>
      <c r="CP38" s="721">
        <f t="shared" si="129"/>
        <v>0.142043239827863</v>
      </c>
      <c r="CQ38" s="41">
        <f>SUM(CQ39:CQ40)</f>
        <v>492657.784558328</v>
      </c>
      <c r="CR38" s="721">
        <f t="shared" si="130"/>
        <v>0.154020855335242</v>
      </c>
      <c r="CS38" s="41">
        <f>CS39+CS40</f>
        <v>511369.386087028</v>
      </c>
      <c r="CT38" s="721">
        <f t="shared" si="131"/>
        <v>0.172550222726378</v>
      </c>
      <c r="CU38" s="41">
        <f>CU39+CU40</f>
        <v>530569.405453115</v>
      </c>
      <c r="CV38" s="721">
        <f t="shared" si="132"/>
        <v>0.21657512448345</v>
      </c>
      <c r="CW38" s="41">
        <f t="shared" si="133"/>
        <v>5782151.52346671</v>
      </c>
      <c r="CX38" s="721">
        <f t="shared" si="134"/>
        <v>0.183073591800282</v>
      </c>
      <c r="CY38" s="721"/>
      <c r="CZ38" s="721">
        <f t="shared" si="135"/>
        <v>0.0375462823713493</v>
      </c>
      <c r="DA38" s="721">
        <f t="shared" si="136"/>
        <v>0.0379809314197177</v>
      </c>
      <c r="DB38" s="721"/>
      <c r="DC38" s="721"/>
      <c r="DD38" s="721"/>
      <c r="DE38" s="721"/>
      <c r="DF38" s="721"/>
      <c r="DG38" s="721"/>
      <c r="DH38" s="721"/>
      <c r="DI38" s="721"/>
      <c r="DJ38" s="721"/>
      <c r="DK38" s="721"/>
      <c r="DM38" s="41">
        <v>369093.697761077</v>
      </c>
      <c r="DN38" s="41">
        <v>279057.359931638</v>
      </c>
      <c r="DO38" s="41">
        <v>427605.412146572</v>
      </c>
      <c r="DP38" s="41">
        <v>419282.285068492</v>
      </c>
      <c r="DQ38" s="41">
        <v>441542.54238364</v>
      </c>
      <c r="DR38" s="41">
        <v>400086.014664383</v>
      </c>
      <c r="DS38" s="41">
        <v>414647.362066274</v>
      </c>
      <c r="DT38" s="41">
        <v>411171.342917054</v>
      </c>
      <c r="DU38" s="41">
        <v>438012.247197206</v>
      </c>
      <c r="DV38" s="41">
        <v>426905.443069494</v>
      </c>
      <c r="DW38" s="41">
        <v>423877.05083888</v>
      </c>
      <c r="DX38" s="41">
        <v>436117.25636622</v>
      </c>
      <c r="DY38" s="721">
        <v>-0.00132662011588258</v>
      </c>
      <c r="DZ38" s="41">
        <f t="shared" si="137"/>
        <v>4887398.01441093</v>
      </c>
      <c r="EA38" s="36">
        <f t="shared" si="138"/>
        <v>-0.110084370767868</v>
      </c>
      <c r="EB38" s="36"/>
      <c r="EC38" s="737">
        <f t="shared" ref="EC38:EN38" si="140">EC39+EC40</f>
        <v>535915.699354575</v>
      </c>
      <c r="ED38" s="737">
        <f t="shared" si="140"/>
        <v>278121.658367499</v>
      </c>
      <c r="EE38" s="737">
        <f t="shared" si="140"/>
        <v>441425.881473742</v>
      </c>
      <c r="EF38" s="737">
        <f t="shared" si="140"/>
        <v>526719.579825821</v>
      </c>
      <c r="EG38" s="737">
        <f t="shared" si="140"/>
        <v>528244.64413623</v>
      </c>
      <c r="EH38" s="737">
        <f t="shared" si="140"/>
        <v>507421.041680788</v>
      </c>
      <c r="EI38" s="737">
        <f t="shared" si="140"/>
        <v>444795.749462356</v>
      </c>
      <c r="EJ38" s="737">
        <f t="shared" si="140"/>
        <v>464430.938412171</v>
      </c>
      <c r="EK38" s="737">
        <f t="shared" si="140"/>
        <v>454047.350954888</v>
      </c>
      <c r="EL38" s="737">
        <f t="shared" si="140"/>
        <v>413901.295685706</v>
      </c>
      <c r="EM38" s="50">
        <f t="shared" si="140"/>
        <v>460258.648974845</v>
      </c>
      <c r="EN38" s="50">
        <f t="shared" si="140"/>
        <v>436696.586842863</v>
      </c>
      <c r="EO38" s="724">
        <f t="shared" si="139"/>
        <v>5491979.07517148</v>
      </c>
      <c r="EP38" s="36"/>
      <c r="EQ38" s="738"/>
    </row>
    <row r="39" ht="27" customHeight="1" spans="1:147">
      <c r="A39" s="45"/>
      <c r="B39" s="707" t="s">
        <v>92</v>
      </c>
      <c r="C39" s="35">
        <v>85975.352</v>
      </c>
      <c r="D39" s="36">
        <f t="shared" si="83"/>
        <v>-0.0440206862691153</v>
      </c>
      <c r="E39" s="35">
        <v>70041.8062</v>
      </c>
      <c r="F39" s="36">
        <f t="shared" si="84"/>
        <v>-0.0868194727440209</v>
      </c>
      <c r="G39" s="35">
        <v>74518.3784</v>
      </c>
      <c r="H39" s="36">
        <f t="shared" si="85"/>
        <v>-0.160074608142975</v>
      </c>
      <c r="I39" s="35">
        <v>79662.6602</v>
      </c>
      <c r="J39" s="36">
        <f t="shared" si="86"/>
        <v>-0.169916422878136</v>
      </c>
      <c r="K39" s="35">
        <v>90461.4869</v>
      </c>
      <c r="L39" s="36">
        <f t="shared" si="87"/>
        <v>-0.259625465755326</v>
      </c>
      <c r="M39" s="35">
        <v>99449.2598</v>
      </c>
      <c r="N39" s="36">
        <f t="shared" si="88"/>
        <v>-0.167647520806841</v>
      </c>
      <c r="O39" s="35">
        <v>100128.6911</v>
      </c>
      <c r="P39" s="36">
        <f t="shared" si="89"/>
        <v>-0.00707207359988593</v>
      </c>
      <c r="Q39" s="127"/>
      <c r="R39" s="127"/>
      <c r="S39" s="35">
        <f t="shared" si="90"/>
        <v>600237.6346</v>
      </c>
      <c r="T39" s="36">
        <f t="shared" si="91"/>
        <v>-0.235819525921175</v>
      </c>
      <c r="U39" s="36"/>
      <c r="V39" s="35">
        <v>89934.3226</v>
      </c>
      <c r="W39" s="36">
        <f t="shared" si="92"/>
        <v>0.092055130588204</v>
      </c>
      <c r="X39" s="35">
        <v>76700.9415</v>
      </c>
      <c r="Y39" s="36">
        <f t="shared" si="93"/>
        <v>0.524907853255787</v>
      </c>
      <c r="Z39" s="35">
        <v>88720.2353</v>
      </c>
      <c r="AA39" s="36">
        <f t="shared" si="94"/>
        <v>0.0886846842628723</v>
      </c>
      <c r="AB39" s="35">
        <v>95969.445</v>
      </c>
      <c r="AC39" s="36">
        <f t="shared" si="95"/>
        <v>0.121214563745695</v>
      </c>
      <c r="AD39" s="35">
        <v>122183.4122</v>
      </c>
      <c r="AE39" s="36">
        <f t="shared" si="96"/>
        <v>0.425920242952659</v>
      </c>
      <c r="AF39" s="35">
        <v>119479.7424</v>
      </c>
      <c r="AG39" s="36">
        <f t="shared" si="97"/>
        <v>0.305589296980532</v>
      </c>
      <c r="AH39" s="35">
        <v>100841.8521</v>
      </c>
      <c r="AI39" s="36">
        <f t="shared" si="98"/>
        <v>0.170461825622089</v>
      </c>
      <c r="AJ39" s="35">
        <v>91635.8583</v>
      </c>
      <c r="AK39" s="36">
        <f t="shared" si="99"/>
        <v>0.0351788164084699</v>
      </c>
      <c r="AL39" s="35">
        <v>90134.9554</v>
      </c>
      <c r="AM39" s="36">
        <f t="shared" si="100"/>
        <v>0.0287130497439951</v>
      </c>
      <c r="AN39" s="35">
        <v>94198.7348</v>
      </c>
      <c r="AO39" s="36">
        <f t="shared" si="101"/>
        <v>0.0366116794815088</v>
      </c>
      <c r="AP39" s="35">
        <v>94885.7751</v>
      </c>
      <c r="AQ39" s="36">
        <f t="shared" si="102"/>
        <v>-0.00271294966535618</v>
      </c>
      <c r="AR39" s="35">
        <v>97300.068</v>
      </c>
      <c r="AS39" s="36">
        <f t="shared" si="103"/>
        <v>-0.16758803328507</v>
      </c>
      <c r="AT39" s="35">
        <f t="shared" si="104"/>
        <v>1161985.3427</v>
      </c>
      <c r="AU39" s="36">
        <f t="shared" si="105"/>
        <v>0.114996923048975</v>
      </c>
      <c r="AV39" s="36"/>
      <c r="AW39" s="35">
        <f t="shared" si="106"/>
        <v>925252.8776</v>
      </c>
      <c r="AX39" s="35">
        <v>82353.2806</v>
      </c>
      <c r="AY39" s="36">
        <f t="shared" si="107"/>
        <v>0.861096441075185</v>
      </c>
      <c r="AZ39" s="35">
        <v>50298.7386</v>
      </c>
      <c r="BA39" s="36">
        <f t="shared" si="108"/>
        <v>-0.0405877788196701</v>
      </c>
      <c r="BB39" s="35">
        <v>81493.0499</v>
      </c>
      <c r="BC39" s="36">
        <f t="shared" si="109"/>
        <v>0.387239314714991</v>
      </c>
      <c r="BD39" s="35">
        <v>85594.1834</v>
      </c>
      <c r="BE39" s="36">
        <f t="shared" si="110"/>
        <v>0.46303291961107</v>
      </c>
      <c r="BF39" s="35">
        <v>85687.4098</v>
      </c>
      <c r="BG39" s="36">
        <f t="shared" si="111"/>
        <v>0.510292040140873</v>
      </c>
      <c r="BH39" s="35">
        <v>91514.0333</v>
      </c>
      <c r="BI39" s="36">
        <f t="shared" si="112"/>
        <v>0.518357024148008</v>
      </c>
      <c r="BJ39" s="35">
        <v>86155.6096</v>
      </c>
      <c r="BK39" s="36">
        <f t="shared" si="113"/>
        <v>0.522052634120945</v>
      </c>
      <c r="BL39" s="35">
        <v>88521.7673</v>
      </c>
      <c r="BM39" s="36">
        <f t="shared" si="114"/>
        <v>0.544567762170194</v>
      </c>
      <c r="BN39" s="35">
        <v>87619.1426</v>
      </c>
      <c r="BO39" s="36">
        <f t="shared" si="115"/>
        <v>0.458154267507791</v>
      </c>
      <c r="BP39" s="35">
        <v>90871.7668</v>
      </c>
      <c r="BQ39" s="36">
        <f t="shared" si="116"/>
        <v>0.531204395235158</v>
      </c>
      <c r="BR39" s="35">
        <v>95143.8957</v>
      </c>
      <c r="BS39" s="36">
        <f t="shared" si="117"/>
        <v>0.370679687269745</v>
      </c>
      <c r="BT39" s="35">
        <v>116889.3191</v>
      </c>
      <c r="BU39" s="36">
        <f t="shared" si="118"/>
        <v>0.527550206704857</v>
      </c>
      <c r="BV39" s="35">
        <f t="shared" si="119"/>
        <v>1042142.1967</v>
      </c>
      <c r="BW39" s="36">
        <f t="shared" si="120"/>
        <v>0.46735135680845</v>
      </c>
      <c r="BX39" s="36"/>
      <c r="BY39" s="50">
        <v>44249.8727</v>
      </c>
      <c r="BZ39" s="721">
        <f t="shared" si="121"/>
        <v>3.21397508050811</v>
      </c>
      <c r="CA39" s="50">
        <v>52426.6186</v>
      </c>
      <c r="CB39" s="721">
        <f t="shared" si="122"/>
        <v>4.18356173999948</v>
      </c>
      <c r="CC39" s="41">
        <v>58744.7667</v>
      </c>
      <c r="CD39" s="721">
        <f t="shared" si="123"/>
        <v>4.07811464539612</v>
      </c>
      <c r="CE39" s="41">
        <v>58504.6189</v>
      </c>
      <c r="CF39" s="721">
        <f t="shared" si="124"/>
        <v>4.75922902159231</v>
      </c>
      <c r="CG39" s="41">
        <v>56735.6561</v>
      </c>
      <c r="CH39" s="721">
        <f t="shared" si="125"/>
        <v>4.03001640767324</v>
      </c>
      <c r="CI39" s="50">
        <v>60271.7489</v>
      </c>
      <c r="CJ39" s="721">
        <f t="shared" si="126"/>
        <v>4.68194823798254</v>
      </c>
      <c r="CK39" s="702">
        <v>56604.8819</v>
      </c>
      <c r="CL39" s="721">
        <f t="shared" si="127"/>
        <v>4.42979983196123</v>
      </c>
      <c r="CM39" s="41">
        <v>57311.6761</v>
      </c>
      <c r="CN39" s="721">
        <f t="shared" si="128"/>
        <v>4.69023292785197</v>
      </c>
      <c r="CO39" s="702">
        <v>60089.076</v>
      </c>
      <c r="CP39" s="721">
        <f t="shared" si="129"/>
        <v>4.83759854232078</v>
      </c>
      <c r="CQ39" s="702">
        <v>59346.5948</v>
      </c>
      <c r="CR39" s="721">
        <f t="shared" si="130"/>
        <v>4.73276070570692</v>
      </c>
      <c r="CS39" s="50">
        <v>69413.6614</v>
      </c>
      <c r="CT39" s="721">
        <f t="shared" si="131"/>
        <v>5.66748447984948</v>
      </c>
      <c r="CU39" s="50">
        <v>76520.7707</v>
      </c>
      <c r="CV39" s="721">
        <f t="shared" si="132"/>
        <v>6.35015328017794</v>
      </c>
      <c r="CW39" s="41">
        <f t="shared" si="133"/>
        <v>710219.9428</v>
      </c>
      <c r="CX39" s="721">
        <f t="shared" si="134"/>
        <v>4.64715034900528</v>
      </c>
      <c r="CY39" s="721"/>
      <c r="CZ39" s="721">
        <f t="shared" si="135"/>
        <v>0.102387759940293</v>
      </c>
      <c r="DA39" s="721">
        <f t="shared" si="136"/>
        <v>0.169631747767944</v>
      </c>
      <c r="DB39" s="721"/>
      <c r="DC39" s="721"/>
      <c r="DD39" s="721"/>
      <c r="DE39" s="721"/>
      <c r="DF39" s="721"/>
      <c r="DG39" s="721"/>
      <c r="DH39" s="721"/>
      <c r="DI39" s="721"/>
      <c r="DJ39" s="721"/>
      <c r="DK39" s="721"/>
      <c r="DM39" s="50">
        <v>10500.7438</v>
      </c>
      <c r="DN39" s="50">
        <v>10114.0145</v>
      </c>
      <c r="DO39" s="41">
        <v>11568.2238</v>
      </c>
      <c r="DP39" s="41">
        <v>10158.4116</v>
      </c>
      <c r="DQ39" s="41">
        <v>11279.4177</v>
      </c>
      <c r="DR39" s="41">
        <v>10607.585</v>
      </c>
      <c r="DS39" s="41">
        <v>10424.8561</v>
      </c>
      <c r="DT39" s="41">
        <v>10071.9385</v>
      </c>
      <c r="DU39" s="41">
        <v>10293.4581</v>
      </c>
      <c r="DV39" s="41">
        <v>10352.1842</v>
      </c>
      <c r="DW39" s="41">
        <v>9984.4711</v>
      </c>
      <c r="DX39" s="41">
        <v>10410.7721</v>
      </c>
      <c r="DY39" s="721">
        <v>-0.128270695533632</v>
      </c>
      <c r="DZ39" s="41">
        <f t="shared" si="137"/>
        <v>125766.0765</v>
      </c>
      <c r="EA39" s="36">
        <f t="shared" si="138"/>
        <v>0.0430113925367475</v>
      </c>
      <c r="EB39" s="36"/>
      <c r="EC39" s="737">
        <v>10480.0638</v>
      </c>
      <c r="ED39" s="737">
        <v>7477.3938</v>
      </c>
      <c r="EE39" s="737">
        <v>9376.93984</v>
      </c>
      <c r="EF39" s="737">
        <v>9450.66983</v>
      </c>
      <c r="EG39" s="737">
        <v>9460.6443</v>
      </c>
      <c r="EH39" s="737">
        <v>9715.1838</v>
      </c>
      <c r="EI39" s="737">
        <v>9960.4595</v>
      </c>
      <c r="EJ39" s="737">
        <v>9807.5993</v>
      </c>
      <c r="EK39" s="737">
        <v>10774.2043</v>
      </c>
      <c r="EL39" s="737">
        <v>11020.046</v>
      </c>
      <c r="EM39" s="737">
        <v>11113.9019</v>
      </c>
      <c r="EN39" s="737">
        <v>11942.6662</v>
      </c>
      <c r="EO39" s="717">
        <f t="shared" si="139"/>
        <v>120579.77257</v>
      </c>
      <c r="EP39" s="36"/>
      <c r="EQ39" s="740">
        <f>SUM(EC39:EN39)</f>
        <v>120579.77257</v>
      </c>
    </row>
    <row r="40" ht="27" customHeight="1" spans="1:147">
      <c r="A40" s="29"/>
      <c r="B40" s="707" t="s">
        <v>93</v>
      </c>
      <c r="C40" s="35">
        <v>427785.079119983</v>
      </c>
      <c r="D40" s="36">
        <f t="shared" si="83"/>
        <v>0.198787963424323</v>
      </c>
      <c r="E40" s="35">
        <v>291026.17842848</v>
      </c>
      <c r="F40" s="36">
        <f t="shared" si="84"/>
        <v>-0.184888303358311</v>
      </c>
      <c r="G40" s="35">
        <v>469429.036865398</v>
      </c>
      <c r="H40" s="36">
        <f t="shared" si="85"/>
        <v>-0.0248425956559882</v>
      </c>
      <c r="I40" s="35">
        <v>472779.747084296</v>
      </c>
      <c r="J40" s="36">
        <f t="shared" si="86"/>
        <v>0.0131700798196985</v>
      </c>
      <c r="K40" s="35">
        <v>469806.26235423</v>
      </c>
      <c r="L40" s="36">
        <f t="shared" si="87"/>
        <v>0.0330774851026225</v>
      </c>
      <c r="M40" s="35">
        <v>436160.799881616</v>
      </c>
      <c r="N40" s="36">
        <f t="shared" si="88"/>
        <v>0.0595891401379296</v>
      </c>
      <c r="O40" s="35">
        <v>421583.946976994</v>
      </c>
      <c r="P40" s="36">
        <f t="shared" si="89"/>
        <v>0.0098486869339125</v>
      </c>
      <c r="Q40" s="127"/>
      <c r="R40" s="127"/>
      <c r="S40" s="35">
        <f t="shared" si="90"/>
        <v>2988571.050711</v>
      </c>
      <c r="T40" s="36">
        <f t="shared" si="91"/>
        <v>-0.11420286139499</v>
      </c>
      <c r="U40" s="36"/>
      <c r="V40" s="35">
        <v>356847.993283166</v>
      </c>
      <c r="W40" s="36">
        <f t="shared" si="92"/>
        <v>-0.128082313928126</v>
      </c>
      <c r="X40" s="35">
        <v>357038.402991303</v>
      </c>
      <c r="Y40" s="36">
        <f t="shared" si="93"/>
        <v>0.542650998177098</v>
      </c>
      <c r="Z40" s="35">
        <v>481387.963393646</v>
      </c>
      <c r="AA40" s="36">
        <f t="shared" si="94"/>
        <v>0.0971491357279024</v>
      </c>
      <c r="AB40" s="35">
        <v>466634.138237117</v>
      </c>
      <c r="AC40" s="36">
        <f t="shared" si="95"/>
        <v>0.097420694756758</v>
      </c>
      <c r="AD40" s="35">
        <v>454763.818909054</v>
      </c>
      <c r="AE40" s="36">
        <f t="shared" si="96"/>
        <v>0.0367650871642502</v>
      </c>
      <c r="AF40" s="35">
        <v>411632.00278255</v>
      </c>
      <c r="AG40" s="36">
        <f t="shared" si="97"/>
        <v>0.0494683173644392</v>
      </c>
      <c r="AH40" s="35">
        <v>417472.392083809</v>
      </c>
      <c r="AI40" s="36">
        <f t="shared" si="98"/>
        <v>0.0235013025483199</v>
      </c>
      <c r="AJ40" s="35">
        <v>428100.805487137</v>
      </c>
      <c r="AK40" s="36">
        <f t="shared" si="99"/>
        <v>0.0319278686051383</v>
      </c>
      <c r="AL40" s="35">
        <v>435655.660209753</v>
      </c>
      <c r="AM40" s="36">
        <f t="shared" si="100"/>
        <v>0.0266668440179367</v>
      </c>
      <c r="AN40" s="35">
        <v>393234.4199535</v>
      </c>
      <c r="AO40" s="36">
        <f t="shared" si="101"/>
        <v>-0.0707119591839918</v>
      </c>
      <c r="AP40" s="35">
        <v>413885.844564453</v>
      </c>
      <c r="AQ40" s="36">
        <f t="shared" si="102"/>
        <v>-0.0376868951091859</v>
      </c>
      <c r="AR40" s="35">
        <v>438030.110351825</v>
      </c>
      <c r="AS40" s="36">
        <f t="shared" si="103"/>
        <v>-0.0483536915243298</v>
      </c>
      <c r="AT40" s="35">
        <f t="shared" si="104"/>
        <v>5054683.55224731</v>
      </c>
      <c r="AU40" s="36">
        <f t="shared" si="105"/>
        <v>0.0323747228585616</v>
      </c>
      <c r="AV40" s="36"/>
      <c r="AW40" s="35">
        <f t="shared" si="106"/>
        <v>4435884.69134935</v>
      </c>
      <c r="AX40" s="35">
        <v>409267.983645133</v>
      </c>
      <c r="AY40" s="36">
        <f t="shared" si="107"/>
        <v>0.387286257218119</v>
      </c>
      <c r="AZ40" s="35">
        <v>231444.703574045</v>
      </c>
      <c r="BA40" s="36">
        <f t="shared" si="108"/>
        <v>-0.383801924788558</v>
      </c>
      <c r="BB40" s="35">
        <v>438762.559908749</v>
      </c>
      <c r="BC40" s="36">
        <f t="shared" si="109"/>
        <v>-0.0149946480116484</v>
      </c>
      <c r="BD40" s="35">
        <v>425209.894862194</v>
      </c>
      <c r="BE40" s="36">
        <f t="shared" si="110"/>
        <v>-0.00531399822780143</v>
      </c>
      <c r="BF40" s="35">
        <v>438637.281038195</v>
      </c>
      <c r="BG40" s="36">
        <f t="shared" si="111"/>
        <v>7.42401804736392e-5</v>
      </c>
      <c r="BH40" s="35">
        <v>392229.089694002</v>
      </c>
      <c r="BI40" s="36">
        <f t="shared" si="112"/>
        <v>-0.0760624567536997</v>
      </c>
      <c r="BJ40" s="35">
        <v>407886.527398044</v>
      </c>
      <c r="BK40" s="36">
        <f t="shared" si="113"/>
        <v>-0.0717879002551294</v>
      </c>
      <c r="BL40" s="35">
        <v>414855.358122853</v>
      </c>
      <c r="BM40" s="36">
        <f t="shared" si="114"/>
        <v>-0.0909911848280524</v>
      </c>
      <c r="BN40" s="35">
        <v>424339.855473254</v>
      </c>
      <c r="BO40" s="36">
        <f t="shared" si="115"/>
        <v>-0.0358976684448621</v>
      </c>
      <c r="BP40" s="35">
        <v>423156.656151736</v>
      </c>
      <c r="BQ40" s="36">
        <f t="shared" si="116"/>
        <v>-0.0234347366202464</v>
      </c>
      <c r="BR40" s="35">
        <v>430094.781481141</v>
      </c>
      <c r="BS40" s="36">
        <f t="shared" si="117"/>
        <v>-0.0268374014484966</v>
      </c>
      <c r="BT40" s="35">
        <v>460286.670006059</v>
      </c>
      <c r="BU40" s="36">
        <f t="shared" si="118"/>
        <v>0.0137386939976945</v>
      </c>
      <c r="BV40" s="35">
        <f t="shared" si="119"/>
        <v>4896171.36135541</v>
      </c>
      <c r="BW40" s="36">
        <f t="shared" si="120"/>
        <v>-0.0346535075475519</v>
      </c>
      <c r="BX40" s="36"/>
      <c r="BY40" s="50">
        <v>295013.362610414</v>
      </c>
      <c r="BZ40" s="721">
        <f t="shared" si="121"/>
        <v>-0.177302957708322</v>
      </c>
      <c r="CA40" s="50">
        <v>375601.146586878</v>
      </c>
      <c r="CB40" s="721">
        <f t="shared" si="122"/>
        <v>0.396580926678296</v>
      </c>
      <c r="CC40" s="41">
        <v>445441.802953714</v>
      </c>
      <c r="CD40" s="721">
        <f t="shared" si="123"/>
        <v>0.0706778514776594</v>
      </c>
      <c r="CE40" s="41">
        <v>427481.530960134</v>
      </c>
      <c r="CF40" s="721">
        <f t="shared" si="124"/>
        <v>0.0448706582092324</v>
      </c>
      <c r="CG40" s="41">
        <v>438604.718944704</v>
      </c>
      <c r="CH40" s="721">
        <f t="shared" si="125"/>
        <v>0.0193871930512226</v>
      </c>
      <c r="CI40" s="50">
        <v>424519.051705471</v>
      </c>
      <c r="CJ40" s="721">
        <f t="shared" si="126"/>
        <v>0.0899680685045454</v>
      </c>
      <c r="CK40" s="702">
        <v>439432.461083147</v>
      </c>
      <c r="CL40" s="721">
        <f t="shared" si="127"/>
        <v>0.0871053803219226</v>
      </c>
      <c r="CM40" s="41">
        <v>456382.106750394</v>
      </c>
      <c r="CN40" s="721">
        <f t="shared" si="128"/>
        <v>0.137827934234124</v>
      </c>
      <c r="CO40" s="41">
        <v>440139.84987338</v>
      </c>
      <c r="CP40" s="721">
        <f t="shared" si="129"/>
        <v>0.0290402504935341</v>
      </c>
      <c r="CQ40" s="41">
        <v>433311.189758328</v>
      </c>
      <c r="CR40" s="721">
        <f t="shared" si="130"/>
        <v>0.0402299838784463</v>
      </c>
      <c r="CS40" s="41">
        <v>441955.724687028</v>
      </c>
      <c r="CT40" s="721">
        <f t="shared" si="131"/>
        <v>0.0381700561804137</v>
      </c>
      <c r="CU40" s="41">
        <v>454048.634753115</v>
      </c>
      <c r="CV40" s="721">
        <f t="shared" si="132"/>
        <v>0.0665767413332867</v>
      </c>
      <c r="CW40" s="41">
        <f t="shared" si="133"/>
        <v>5071931.58066671</v>
      </c>
      <c r="CX40" s="721">
        <f t="shared" si="134"/>
        <v>0.0651666585746051</v>
      </c>
      <c r="CY40" s="721"/>
      <c r="CZ40" s="721">
        <f t="shared" si="135"/>
        <v>0.0273622659252817</v>
      </c>
      <c r="DA40" s="721">
        <f t="shared" si="136"/>
        <v>0.0199499462119159</v>
      </c>
      <c r="DB40" s="721"/>
      <c r="DC40" s="721"/>
      <c r="DD40" s="721"/>
      <c r="DE40" s="721"/>
      <c r="DF40" s="721"/>
      <c r="DG40" s="721"/>
      <c r="DH40" s="721"/>
      <c r="DI40" s="721"/>
      <c r="DJ40" s="721"/>
      <c r="DK40" s="721"/>
      <c r="DL40" s="21"/>
      <c r="DM40" s="745">
        <v>358592.953961077</v>
      </c>
      <c r="DN40" s="745">
        <v>268943.345431638</v>
      </c>
      <c r="DO40" s="727">
        <v>416037.188346572</v>
      </c>
      <c r="DP40" s="727">
        <v>409123.873468492</v>
      </c>
      <c r="DQ40" s="727">
        <v>430263.12468364</v>
      </c>
      <c r="DR40" s="727">
        <v>389478.429664383</v>
      </c>
      <c r="DS40" s="727">
        <v>404222.505966274</v>
      </c>
      <c r="DT40" s="727">
        <v>401099.404417054</v>
      </c>
      <c r="DU40" s="727">
        <v>427718.789097206</v>
      </c>
      <c r="DV40" s="727">
        <v>416553.258869494</v>
      </c>
      <c r="DW40" s="727">
        <v>413892.57973888</v>
      </c>
      <c r="DX40" s="727">
        <v>425706.48426622</v>
      </c>
      <c r="DY40" s="728">
        <v>0.00224262467528313</v>
      </c>
      <c r="DZ40" s="727">
        <f t="shared" si="137"/>
        <v>4761631.93791093</v>
      </c>
      <c r="EA40" s="729">
        <f t="shared" si="138"/>
        <v>-0.113521138597019</v>
      </c>
      <c r="EB40" s="741"/>
      <c r="EC40" s="737">
        <v>525435.635554575</v>
      </c>
      <c r="ED40" s="737">
        <v>270644.264567499</v>
      </c>
      <c r="EE40" s="737">
        <v>432048.941633742</v>
      </c>
      <c r="EF40" s="737">
        <v>517268.909995821</v>
      </c>
      <c r="EG40" s="737">
        <v>518783.99983623</v>
      </c>
      <c r="EH40" s="737">
        <v>497705.857880788</v>
      </c>
      <c r="EI40" s="737">
        <v>434835.289962356</v>
      </c>
      <c r="EJ40" s="737">
        <v>454623.339112171</v>
      </c>
      <c r="EK40" s="737">
        <v>443273.146654888</v>
      </c>
      <c r="EL40" s="737">
        <v>402881.249685706</v>
      </c>
      <c r="EM40" s="737">
        <v>449144.747074845</v>
      </c>
      <c r="EN40" s="737">
        <v>424753.920642863</v>
      </c>
      <c r="EO40" s="717">
        <f t="shared" si="139"/>
        <v>5371399.30260148</v>
      </c>
      <c r="EP40" s="36"/>
      <c r="EQ40" s="740">
        <f>SUM(EC40:EN40)</f>
        <v>5371399.30260148</v>
      </c>
    </row>
    <row r="41" s="206" customFormat="1" ht="27" customHeight="1" spans="1:147">
      <c r="A41" s="707" t="s">
        <v>98</v>
      </c>
      <c r="B41" s="707" t="s">
        <v>88</v>
      </c>
      <c r="C41" s="35">
        <v>235.763245929625</v>
      </c>
      <c r="D41" s="36">
        <f t="shared" si="83"/>
        <v>0.203407606178919</v>
      </c>
      <c r="E41" s="35">
        <v>164.414490585803</v>
      </c>
      <c r="F41" s="36">
        <f t="shared" si="84"/>
        <v>-0.0979715014260742</v>
      </c>
      <c r="G41" s="35">
        <v>217.665238940615</v>
      </c>
      <c r="H41" s="36">
        <f t="shared" si="85"/>
        <v>0.00681620818956219</v>
      </c>
      <c r="I41" s="35">
        <v>206.797564998011</v>
      </c>
      <c r="J41" s="36">
        <f t="shared" si="86"/>
        <v>0.0197758708861999</v>
      </c>
      <c r="K41" s="35">
        <v>205.903310171922</v>
      </c>
      <c r="L41" s="36">
        <f t="shared" si="87"/>
        <v>0.0773727818277314</v>
      </c>
      <c r="M41" s="35">
        <v>211.580389994976</v>
      </c>
      <c r="N41" s="36">
        <f t="shared" si="88"/>
        <v>0.127146490431177</v>
      </c>
      <c r="O41" s="35">
        <v>196.927958695634</v>
      </c>
      <c r="P41" s="36">
        <f t="shared" si="89"/>
        <v>0.0344686706740596</v>
      </c>
      <c r="Q41" s="127"/>
      <c r="R41" s="127"/>
      <c r="S41" s="35">
        <f t="shared" si="90"/>
        <v>1439.05219931659</v>
      </c>
      <c r="T41" s="36">
        <f t="shared" si="91"/>
        <v>-0.0761492096179126</v>
      </c>
      <c r="U41" s="36"/>
      <c r="V41" s="35">
        <v>195.913042861865</v>
      </c>
      <c r="W41" s="36">
        <f t="shared" si="92"/>
        <v>-0.106529081543213</v>
      </c>
      <c r="X41" s="35">
        <v>182.271946890521</v>
      </c>
      <c r="Y41" s="36">
        <f t="shared" si="93"/>
        <v>0.480359740244915</v>
      </c>
      <c r="Z41" s="35">
        <v>216.191631769632</v>
      </c>
      <c r="AA41" s="36">
        <f t="shared" si="94"/>
        <v>0.166618807098314</v>
      </c>
      <c r="AB41" s="35">
        <v>202.787270126622</v>
      </c>
      <c r="AC41" s="36">
        <f t="shared" si="95"/>
        <v>0.108552458090181</v>
      </c>
      <c r="AD41" s="35">
        <v>191.116124005484</v>
      </c>
      <c r="AE41" s="36">
        <f t="shared" si="96"/>
        <v>0.0830149269826834</v>
      </c>
      <c r="AF41" s="35">
        <v>187.713302388972</v>
      </c>
      <c r="AG41" s="36">
        <f t="shared" si="97"/>
        <v>0.0964216531293502</v>
      </c>
      <c r="AH41" s="35">
        <v>190.366285880186</v>
      </c>
      <c r="AI41" s="36">
        <f t="shared" si="98"/>
        <v>0.0517581586929206</v>
      </c>
      <c r="AJ41" s="35">
        <v>191.30773186091</v>
      </c>
      <c r="AK41" s="36">
        <f t="shared" si="99"/>
        <v>0.0276254785314189</v>
      </c>
      <c r="AL41" s="35">
        <v>229.139411756606</v>
      </c>
      <c r="AM41" s="36">
        <f t="shared" si="100"/>
        <v>0.133314510192432</v>
      </c>
      <c r="AN41" s="35">
        <v>211.347784187686</v>
      </c>
      <c r="AO41" s="36">
        <f t="shared" si="101"/>
        <v>0.0324469979353854</v>
      </c>
      <c r="AP41" s="35">
        <v>235.679723276619</v>
      </c>
      <c r="AQ41" s="36">
        <f t="shared" si="102"/>
        <v>0.00738923868388808</v>
      </c>
      <c r="AR41" s="35">
        <v>280.006833121964</v>
      </c>
      <c r="AS41" s="36">
        <f t="shared" si="103"/>
        <v>-0.118678604545619</v>
      </c>
      <c r="AT41" s="35">
        <f t="shared" si="104"/>
        <v>2513.84108812707</v>
      </c>
      <c r="AU41" s="36">
        <f t="shared" si="105"/>
        <v>0.0544490729251961</v>
      </c>
      <c r="AV41" s="36"/>
      <c r="AW41" s="35">
        <f t="shared" si="106"/>
        <v>2066.32020635337</v>
      </c>
      <c r="AX41" s="35">
        <v>219.271874232066</v>
      </c>
      <c r="AY41" s="36">
        <f t="shared" si="107"/>
        <v>0.783324011719401</v>
      </c>
      <c r="AZ41" s="35">
        <v>123.126792721589</v>
      </c>
      <c r="BA41" s="36">
        <f t="shared" si="108"/>
        <v>-0.259178364500351</v>
      </c>
      <c r="BB41" s="35">
        <v>185.314715015916</v>
      </c>
      <c r="BC41" s="36">
        <f t="shared" si="109"/>
        <v>0.0534976887314</v>
      </c>
      <c r="BD41" s="35">
        <v>182.929791591446</v>
      </c>
      <c r="BE41" s="36">
        <f t="shared" si="110"/>
        <v>0.198626969448228</v>
      </c>
      <c r="BF41" s="35">
        <v>176.466749667006</v>
      </c>
      <c r="BG41" s="36">
        <f t="shared" si="111"/>
        <v>0.138884776250807</v>
      </c>
      <c r="BH41" s="35">
        <v>171.205395162719</v>
      </c>
      <c r="BI41" s="36">
        <f t="shared" si="112"/>
        <v>0.00489161100461333</v>
      </c>
      <c r="BJ41" s="35">
        <v>180.998154667766</v>
      </c>
      <c r="BK41" s="36">
        <f t="shared" si="113"/>
        <v>0.0632063425006195</v>
      </c>
      <c r="BL41" s="35">
        <v>186.164839095181</v>
      </c>
      <c r="BM41" s="36">
        <f t="shared" si="114"/>
        <v>0.0178858133198787</v>
      </c>
      <c r="BN41" s="35">
        <v>202.185191926731</v>
      </c>
      <c r="BO41" s="36">
        <f t="shared" si="115"/>
        <v>0.0643415358527872</v>
      </c>
      <c r="BP41" s="35">
        <v>204.705698801318</v>
      </c>
      <c r="BQ41" s="36">
        <f t="shared" si="116"/>
        <v>0.00144153760077903</v>
      </c>
      <c r="BR41" s="35">
        <v>233.951003471632</v>
      </c>
      <c r="BS41" s="36">
        <f t="shared" si="117"/>
        <v>0.0140462649504194</v>
      </c>
      <c r="BT41" s="35">
        <v>317.712510516781</v>
      </c>
      <c r="BU41" s="36">
        <f t="shared" si="118"/>
        <v>0.118396119189612</v>
      </c>
      <c r="BV41" s="35">
        <f t="shared" si="119"/>
        <v>2384.03271687015</v>
      </c>
      <c r="BW41" s="36">
        <f t="shared" si="120"/>
        <v>0.0810499977725292</v>
      </c>
      <c r="BX41" s="36"/>
      <c r="BY41" s="50">
        <v>122.956833862543</v>
      </c>
      <c r="BZ41" s="721">
        <f t="shared" si="121"/>
        <v>-0.0716816627672717</v>
      </c>
      <c r="CA41" s="50">
        <v>166.203019487337</v>
      </c>
      <c r="CB41" s="721">
        <f t="shared" si="122"/>
        <v>0.477101879041845</v>
      </c>
      <c r="CC41" s="41">
        <v>175.904244497269</v>
      </c>
      <c r="CD41" s="721">
        <f t="shared" si="123"/>
        <v>0.186495641488596</v>
      </c>
      <c r="CE41" s="41">
        <v>152.6161151502</v>
      </c>
      <c r="CF41" s="721">
        <f t="shared" si="124"/>
        <v>0.25065945059175</v>
      </c>
      <c r="CG41" s="41">
        <v>154.946973870291</v>
      </c>
      <c r="CH41" s="721">
        <f t="shared" si="125"/>
        <v>0.136007891544375</v>
      </c>
      <c r="CI41" s="702">
        <v>170.372001604791</v>
      </c>
      <c r="CJ41" s="721">
        <f t="shared" si="126"/>
        <v>0.241754371045506</v>
      </c>
      <c r="CK41" s="702">
        <v>170.23803135153</v>
      </c>
      <c r="CL41" s="721">
        <f t="shared" si="127"/>
        <v>0.209094435578946</v>
      </c>
      <c r="CM41" s="41">
        <v>182.893637635047</v>
      </c>
      <c r="CN41" s="721">
        <f t="shared" si="128"/>
        <v>0.26898670008212</v>
      </c>
      <c r="CO41" s="41">
        <v>189.962700050725</v>
      </c>
      <c r="CP41" s="721">
        <f t="shared" si="129"/>
        <v>0.106081851557034</v>
      </c>
      <c r="CQ41" s="41">
        <v>204.411032611794</v>
      </c>
      <c r="CR41" s="721">
        <f t="shared" si="130"/>
        <v>0.16962136625626</v>
      </c>
      <c r="CS41" s="41">
        <v>230.710384287122</v>
      </c>
      <c r="CT41" s="721">
        <f t="shared" si="131"/>
        <v>0.315498471811345</v>
      </c>
      <c r="CU41" s="41">
        <v>284.078695433059</v>
      </c>
      <c r="CV41" s="721">
        <f t="shared" si="132"/>
        <v>0.619801773860638</v>
      </c>
      <c r="CW41" s="41">
        <f t="shared" si="133"/>
        <v>2205.29366984171</v>
      </c>
      <c r="CX41" s="721">
        <f t="shared" si="134"/>
        <v>0.237415894790333</v>
      </c>
      <c r="CY41" s="721"/>
      <c r="CZ41" s="721">
        <f t="shared" si="135"/>
        <v>0.231321668987034</v>
      </c>
      <c r="DA41" s="721">
        <f t="shared" si="136"/>
        <v>0.128659159631928</v>
      </c>
      <c r="DB41" s="721"/>
      <c r="DC41" s="721"/>
      <c r="DD41" s="721"/>
      <c r="DE41" s="721"/>
      <c r="DF41" s="721"/>
      <c r="DG41" s="721"/>
      <c r="DH41" s="721"/>
      <c r="DI41" s="721"/>
      <c r="DJ41" s="721"/>
      <c r="DK41" s="721"/>
      <c r="DL41" s="222"/>
      <c r="DM41" s="742">
        <v>132.451152725337</v>
      </c>
      <c r="DN41" s="742">
        <v>112.519672370296</v>
      </c>
      <c r="DO41" s="731">
        <v>148.255280800338</v>
      </c>
      <c r="DP41" s="731">
        <v>122.028514699177</v>
      </c>
      <c r="DQ41" s="731">
        <v>136.396036527215</v>
      </c>
      <c r="DR41" s="731">
        <v>137.202659058365</v>
      </c>
      <c r="DS41" s="731">
        <v>140.797961136936</v>
      </c>
      <c r="DT41" s="731">
        <v>144.125732462926</v>
      </c>
      <c r="DU41" s="731">
        <v>171.743799776946</v>
      </c>
      <c r="DV41" s="731">
        <v>174.766842081618</v>
      </c>
      <c r="DW41" s="731">
        <v>186.510283590821</v>
      </c>
      <c r="DX41" s="731">
        <v>175.378679056503</v>
      </c>
      <c r="DY41" s="732">
        <v>-0.0219421449502198</v>
      </c>
      <c r="DZ41" s="731">
        <f t="shared" si="137"/>
        <v>1782.17661428648</v>
      </c>
      <c r="EA41" s="733">
        <f t="shared" si="138"/>
        <v>-0.0383932842944376</v>
      </c>
      <c r="EB41" s="743"/>
      <c r="EC41" s="737">
        <v>176.040095283492</v>
      </c>
      <c r="ED41" s="737">
        <v>92.701715322006</v>
      </c>
      <c r="EE41" s="737">
        <v>137.755654557332</v>
      </c>
      <c r="EF41" s="737">
        <v>155.065106705553</v>
      </c>
      <c r="EG41" s="737">
        <v>151.699868452361</v>
      </c>
      <c r="EH41" s="737">
        <v>171.867485346382</v>
      </c>
      <c r="EI41" s="737">
        <v>151.858289769465</v>
      </c>
      <c r="EJ41" s="737">
        <v>142.967023722319</v>
      </c>
      <c r="EK41" s="737">
        <v>160.792223619546</v>
      </c>
      <c r="EL41" s="737">
        <v>157.30368998743</v>
      </c>
      <c r="EM41" s="737">
        <v>175.967773369583</v>
      </c>
      <c r="EN41" s="737">
        <v>179.313195176554</v>
      </c>
      <c r="EO41" s="724">
        <f t="shared" si="139"/>
        <v>1853.33212131202</v>
      </c>
      <c r="EP41" s="36"/>
      <c r="EQ41" s="740">
        <f>SUM(EC41:EN41)</f>
        <v>1853.33212131202</v>
      </c>
    </row>
    <row r="42" ht="27" customHeight="1" spans="1:147">
      <c r="A42" s="45"/>
      <c r="B42" s="707" t="s">
        <v>89</v>
      </c>
      <c r="C42" s="35">
        <v>93.97</v>
      </c>
      <c r="D42" s="36">
        <f t="shared" si="83"/>
        <v>0.118327019909006</v>
      </c>
      <c r="E42" s="35">
        <v>92.6829</v>
      </c>
      <c r="F42" s="36">
        <f t="shared" si="84"/>
        <v>0.133960491253313</v>
      </c>
      <c r="G42" s="35">
        <v>136.4071</v>
      </c>
      <c r="H42" s="36">
        <f t="shared" si="85"/>
        <v>0.40870584468897</v>
      </c>
      <c r="I42" s="35">
        <v>122.0455</v>
      </c>
      <c r="J42" s="36">
        <f t="shared" si="86"/>
        <v>0.429772223790741</v>
      </c>
      <c r="K42" s="35">
        <v>124.0954</v>
      </c>
      <c r="L42" s="36">
        <f t="shared" si="87"/>
        <v>0.745379004604821</v>
      </c>
      <c r="M42" s="35">
        <v>122.807</v>
      </c>
      <c r="N42" s="36">
        <f t="shared" si="88"/>
        <v>0.612573681093651</v>
      </c>
      <c r="O42" s="35">
        <v>88.2501</v>
      </c>
      <c r="P42" s="36">
        <f t="shared" si="89"/>
        <v>0.326632282000364</v>
      </c>
      <c r="Q42" s="127"/>
      <c r="R42" s="127"/>
      <c r="S42" s="35">
        <f t="shared" si="90"/>
        <v>780.258</v>
      </c>
      <c r="T42" s="36">
        <f t="shared" si="91"/>
        <v>0.233475510248927</v>
      </c>
      <c r="U42" s="36"/>
      <c r="V42" s="35">
        <v>84.0273</v>
      </c>
      <c r="W42" s="36">
        <f t="shared" si="92"/>
        <v>-0.169647224607613</v>
      </c>
      <c r="X42" s="35">
        <v>81.7338</v>
      </c>
      <c r="Y42" s="36">
        <f t="shared" si="93"/>
        <v>0.0507115401920579</v>
      </c>
      <c r="Z42" s="35">
        <v>96.8315</v>
      </c>
      <c r="AA42" s="36">
        <f t="shared" si="94"/>
        <v>0.254463036471235</v>
      </c>
      <c r="AB42" s="35">
        <v>85.3601</v>
      </c>
      <c r="AC42" s="36">
        <f t="shared" si="95"/>
        <v>0.17669414948244</v>
      </c>
      <c r="AD42" s="35">
        <v>71.0994</v>
      </c>
      <c r="AE42" s="36">
        <f t="shared" si="96"/>
        <v>0.0196824759418877</v>
      </c>
      <c r="AF42" s="35">
        <v>76.1559</v>
      </c>
      <c r="AG42" s="36">
        <f t="shared" si="97"/>
        <v>0.187059173783534</v>
      </c>
      <c r="AH42" s="35">
        <v>66.5219</v>
      </c>
      <c r="AI42" s="36">
        <f t="shared" si="98"/>
        <v>0.0661739839822033</v>
      </c>
      <c r="AJ42" s="35">
        <v>70.8388</v>
      </c>
      <c r="AK42" s="36">
        <f t="shared" si="99"/>
        <v>0.151575151955549</v>
      </c>
      <c r="AL42" s="35">
        <v>126.7464</v>
      </c>
      <c r="AM42" s="36">
        <f t="shared" si="100"/>
        <v>1.07189982672377</v>
      </c>
      <c r="AN42" s="35">
        <v>88.3077</v>
      </c>
      <c r="AO42" s="36">
        <f t="shared" si="101"/>
        <v>0.380890948837995</v>
      </c>
      <c r="AP42" s="35">
        <v>85.3593</v>
      </c>
      <c r="AQ42" s="36">
        <f t="shared" si="102"/>
        <v>0.0265256104365896</v>
      </c>
      <c r="AR42" s="35">
        <v>83.883</v>
      </c>
      <c r="AS42" s="36">
        <f t="shared" si="103"/>
        <v>-0.534580105065283</v>
      </c>
      <c r="AT42" s="35">
        <f t="shared" si="104"/>
        <v>1016.8651</v>
      </c>
      <c r="AU42" s="36">
        <f t="shared" si="105"/>
        <v>0.0429239096845513</v>
      </c>
      <c r="AV42" s="36"/>
      <c r="AW42" s="35">
        <f t="shared" si="106"/>
        <v>794.7829</v>
      </c>
      <c r="AX42" s="35">
        <v>101.1947</v>
      </c>
      <c r="AY42" s="36">
        <f t="shared" si="107"/>
        <v>0.169367214402921</v>
      </c>
      <c r="AZ42" s="35">
        <v>77.789</v>
      </c>
      <c r="BA42" s="36">
        <f t="shared" si="108"/>
        <v>-0.14005584899987</v>
      </c>
      <c r="BB42" s="35">
        <v>77.1896</v>
      </c>
      <c r="BC42" s="36">
        <f t="shared" si="109"/>
        <v>-0.171394220447422</v>
      </c>
      <c r="BD42" s="35">
        <v>72.5423</v>
      </c>
      <c r="BE42" s="36">
        <f t="shared" si="110"/>
        <v>0.0105326650526145</v>
      </c>
      <c r="BF42" s="35">
        <v>69.727</v>
      </c>
      <c r="BG42" s="36">
        <f t="shared" si="111"/>
        <v>0.125451337832319</v>
      </c>
      <c r="BH42" s="35">
        <v>64.1551</v>
      </c>
      <c r="BI42" s="36">
        <f t="shared" si="112"/>
        <v>-0.337894599961195</v>
      </c>
      <c r="BJ42" s="35">
        <v>62.3931</v>
      </c>
      <c r="BK42" s="36">
        <f t="shared" si="113"/>
        <v>-0.269453821214176</v>
      </c>
      <c r="BL42" s="35">
        <v>61.5147</v>
      </c>
      <c r="BM42" s="36">
        <f t="shared" si="114"/>
        <v>-0.251267064597168</v>
      </c>
      <c r="BN42" s="35">
        <v>61.174</v>
      </c>
      <c r="BO42" s="36">
        <f t="shared" si="115"/>
        <v>-0.220226638283769</v>
      </c>
      <c r="BP42" s="35">
        <v>63.9498</v>
      </c>
      <c r="BQ42" s="36">
        <f t="shared" si="116"/>
        <v>-0.2754204160992</v>
      </c>
      <c r="BR42" s="35">
        <v>83.1536</v>
      </c>
      <c r="BS42" s="36">
        <f t="shared" si="117"/>
        <v>-0.350217821936916</v>
      </c>
      <c r="BT42" s="35">
        <v>180.2308</v>
      </c>
      <c r="BU42" s="36">
        <f t="shared" si="118"/>
        <v>0.0667290101298261</v>
      </c>
      <c r="BV42" s="35">
        <f t="shared" si="119"/>
        <v>975.0137</v>
      </c>
      <c r="BW42" s="36">
        <f t="shared" si="120"/>
        <v>-0.138672868134878</v>
      </c>
      <c r="BX42" s="36"/>
      <c r="BY42" s="50">
        <v>86.538</v>
      </c>
      <c r="BZ42" s="721">
        <f t="shared" si="121"/>
        <v>3.06604301065164</v>
      </c>
      <c r="CA42" s="50">
        <v>90.4582</v>
      </c>
      <c r="CB42" s="721">
        <f t="shared" si="122"/>
        <v>3.81053168972889</v>
      </c>
      <c r="CC42" s="41">
        <v>93.156</v>
      </c>
      <c r="CD42" s="721">
        <f t="shared" si="123"/>
        <v>3.81705173020043</v>
      </c>
      <c r="CE42" s="41">
        <v>71.7862</v>
      </c>
      <c r="CF42" s="721">
        <f t="shared" si="124"/>
        <v>2.71385409714785</v>
      </c>
      <c r="CG42" s="41">
        <v>61.9547</v>
      </c>
      <c r="CH42" s="721">
        <f t="shared" si="125"/>
        <v>2.19120540635205</v>
      </c>
      <c r="CI42" s="702">
        <v>96.8956</v>
      </c>
      <c r="CJ42" s="721">
        <f t="shared" si="126"/>
        <v>2.09436155536253</v>
      </c>
      <c r="CK42" s="702">
        <v>85.4061</v>
      </c>
      <c r="CL42" s="721">
        <f t="shared" si="127"/>
        <v>1.65443249240868</v>
      </c>
      <c r="CM42" s="41">
        <v>82.1584</v>
      </c>
      <c r="CN42" s="721">
        <f t="shared" si="128"/>
        <v>1.58306137719844</v>
      </c>
      <c r="CO42" s="41">
        <v>78.451</v>
      </c>
      <c r="CP42" s="721">
        <f t="shared" si="129"/>
        <v>0.233929239896694</v>
      </c>
      <c r="CQ42" s="41">
        <v>88.2578</v>
      </c>
      <c r="CR42" s="721">
        <f t="shared" si="130"/>
        <v>0.092568590531579</v>
      </c>
      <c r="CS42" s="41">
        <v>127.9715</v>
      </c>
      <c r="CT42" s="721">
        <f t="shared" si="131"/>
        <v>0.709918533632101</v>
      </c>
      <c r="CU42" s="41">
        <v>168.9565</v>
      </c>
      <c r="CV42" s="721">
        <f t="shared" si="132"/>
        <v>1.25754836606285</v>
      </c>
      <c r="CW42" s="41">
        <f t="shared" si="133"/>
        <v>1131.99</v>
      </c>
      <c r="CX42" s="721">
        <f t="shared" si="134"/>
        <v>1.28330313779453</v>
      </c>
      <c r="CY42" s="721"/>
      <c r="CZ42" s="721">
        <f t="shared" si="135"/>
        <v>0.320266621865025</v>
      </c>
      <c r="DA42" s="721">
        <f t="shared" si="136"/>
        <v>0.449973826675943</v>
      </c>
      <c r="DB42" s="721"/>
      <c r="DC42" s="721"/>
      <c r="DD42" s="721"/>
      <c r="DE42" s="721"/>
      <c r="DF42" s="721"/>
      <c r="DG42" s="721"/>
      <c r="DH42" s="721"/>
      <c r="DI42" s="721"/>
      <c r="DJ42" s="721"/>
      <c r="DK42" s="721"/>
      <c r="DL42" s="735" t="s">
        <v>98</v>
      </c>
      <c r="DM42" s="742">
        <v>21.2831</v>
      </c>
      <c r="DN42" s="742">
        <v>18.8042</v>
      </c>
      <c r="DO42" s="731">
        <v>19.3388</v>
      </c>
      <c r="DP42" s="731">
        <v>19.3293</v>
      </c>
      <c r="DQ42" s="731">
        <v>19.4142</v>
      </c>
      <c r="DR42" s="731">
        <v>31.3136</v>
      </c>
      <c r="DS42" s="731">
        <v>32.1749</v>
      </c>
      <c r="DT42" s="731">
        <v>31.8066</v>
      </c>
      <c r="DU42" s="731">
        <v>63.5782</v>
      </c>
      <c r="DV42" s="731">
        <v>80.7801</v>
      </c>
      <c r="DW42" s="731">
        <v>83.1049</v>
      </c>
      <c r="DX42" s="731">
        <v>74.8407</v>
      </c>
      <c r="DY42" s="732">
        <v>2.7340627759733</v>
      </c>
      <c r="DZ42" s="731">
        <f t="shared" si="137"/>
        <v>495.7686</v>
      </c>
      <c r="EA42" s="733">
        <f t="shared" si="138"/>
        <v>0.85326573730855</v>
      </c>
      <c r="EB42" s="733"/>
      <c r="EC42" s="737">
        <v>23.9025</v>
      </c>
      <c r="ED42" s="737">
        <v>22.1369</v>
      </c>
      <c r="EE42" s="737">
        <v>25.7831</v>
      </c>
      <c r="EF42" s="737">
        <v>23.2322</v>
      </c>
      <c r="EG42" s="737">
        <v>21.118</v>
      </c>
      <c r="EH42" s="737">
        <v>22.2616</v>
      </c>
      <c r="EI42" s="737">
        <v>20.4522</v>
      </c>
      <c r="EJ42" s="737">
        <v>22.1513</v>
      </c>
      <c r="EK42" s="737">
        <v>22.4784</v>
      </c>
      <c r="EL42" s="737">
        <v>22.6202</v>
      </c>
      <c r="EM42" s="737">
        <v>21.3317</v>
      </c>
      <c r="EN42" s="737">
        <v>20.0427</v>
      </c>
      <c r="EO42" s="717">
        <f t="shared" si="139"/>
        <v>267.5108</v>
      </c>
      <c r="EP42" s="36"/>
      <c r="EQ42" s="740">
        <f>SUM(EC42:EN42)</f>
        <v>267.5108</v>
      </c>
    </row>
    <row r="43" s="206" customFormat="1" ht="27" customHeight="1" spans="1:147">
      <c r="A43" s="45"/>
      <c r="B43" s="707" t="s">
        <v>90</v>
      </c>
      <c r="C43" s="35">
        <v>141.793245929625</v>
      </c>
      <c r="D43" s="36">
        <f t="shared" si="83"/>
        <v>0.267303968341025</v>
      </c>
      <c r="E43" s="35">
        <v>71.731590585803</v>
      </c>
      <c r="F43" s="36">
        <f t="shared" si="84"/>
        <v>-0.286523644961214</v>
      </c>
      <c r="G43" s="35">
        <v>81.258138940615</v>
      </c>
      <c r="H43" s="36">
        <f t="shared" si="85"/>
        <v>-0.319218756414871</v>
      </c>
      <c r="I43" s="35">
        <v>84.752064998011</v>
      </c>
      <c r="J43" s="36">
        <f t="shared" si="86"/>
        <v>-0.278258473685241</v>
      </c>
      <c r="K43" s="35">
        <v>81.807910171922</v>
      </c>
      <c r="L43" s="36">
        <f t="shared" si="87"/>
        <v>-0.318362412823534</v>
      </c>
      <c r="M43" s="35">
        <v>88.773389994976</v>
      </c>
      <c r="N43" s="36">
        <f t="shared" si="88"/>
        <v>-0.204235773745914</v>
      </c>
      <c r="O43" s="35">
        <v>108.677858695634</v>
      </c>
      <c r="P43" s="36">
        <f t="shared" si="89"/>
        <v>-0.12246439010344</v>
      </c>
      <c r="Q43" s="127"/>
      <c r="R43" s="127"/>
      <c r="S43" s="35">
        <f t="shared" si="90"/>
        <v>658.794199316586</v>
      </c>
      <c r="T43" s="36">
        <f t="shared" si="91"/>
        <v>-0.287865991978103</v>
      </c>
      <c r="U43" s="36"/>
      <c r="V43" s="35">
        <v>111.885742861865</v>
      </c>
      <c r="W43" s="36">
        <f t="shared" si="92"/>
        <v>-0.0524354635895378</v>
      </c>
      <c r="X43" s="35">
        <v>100.538146890521</v>
      </c>
      <c r="Y43" s="36">
        <f t="shared" si="93"/>
        <v>1.21753510383505</v>
      </c>
      <c r="Z43" s="35">
        <v>119.360131769632</v>
      </c>
      <c r="AA43" s="36">
        <f t="shared" si="94"/>
        <v>0.103907558868837</v>
      </c>
      <c r="AB43" s="35">
        <v>117.427170126622</v>
      </c>
      <c r="AC43" s="36">
        <f t="shared" si="95"/>
        <v>0.0637724295903968</v>
      </c>
      <c r="AD43" s="35">
        <v>120.016724005484</v>
      </c>
      <c r="AE43" s="36">
        <f t="shared" si="96"/>
        <v>0.124386410684847</v>
      </c>
      <c r="AF43" s="35">
        <v>111.557402388972</v>
      </c>
      <c r="AG43" s="36">
        <f t="shared" si="97"/>
        <v>0.0421027071378186</v>
      </c>
      <c r="AH43" s="35">
        <v>123.844385880186</v>
      </c>
      <c r="AI43" s="36">
        <f t="shared" si="98"/>
        <v>0.0441746030731685</v>
      </c>
      <c r="AJ43" s="35">
        <v>120.46893186091</v>
      </c>
      <c r="AK43" s="36">
        <f t="shared" si="99"/>
        <v>-0.033543542467115</v>
      </c>
      <c r="AL43" s="35">
        <v>102.393011756606</v>
      </c>
      <c r="AM43" s="36">
        <f t="shared" si="100"/>
        <v>-0.27386606440566</v>
      </c>
      <c r="AN43" s="35">
        <v>123.040084187686</v>
      </c>
      <c r="AO43" s="36">
        <f t="shared" si="101"/>
        <v>-0.125861969299337</v>
      </c>
      <c r="AP43" s="35">
        <v>150.320423276619</v>
      </c>
      <c r="AQ43" s="36">
        <f t="shared" si="102"/>
        <v>-0.00316305310325005</v>
      </c>
      <c r="AR43" s="35">
        <v>196.123833121964</v>
      </c>
      <c r="AS43" s="36">
        <f t="shared" si="103"/>
        <v>0.4265449010254</v>
      </c>
      <c r="AT43" s="35">
        <f t="shared" si="104"/>
        <v>1496.97598812707</v>
      </c>
      <c r="AU43" s="36">
        <f t="shared" si="105"/>
        <v>0.0624242612795212</v>
      </c>
      <c r="AV43" s="36"/>
      <c r="AW43" s="35">
        <f t="shared" si="106"/>
        <v>1271.53730635337</v>
      </c>
      <c r="AX43" s="35">
        <v>118.077174232066</v>
      </c>
      <c r="AY43" s="36">
        <f t="shared" si="107"/>
        <v>2.24220085348502</v>
      </c>
      <c r="AZ43" s="35">
        <v>45.337792721589</v>
      </c>
      <c r="BA43" s="36">
        <f t="shared" si="108"/>
        <v>-0.401440348944675</v>
      </c>
      <c r="BB43" s="35">
        <v>108.125115015916</v>
      </c>
      <c r="BC43" s="36">
        <f t="shared" si="109"/>
        <v>0.306675636115574</v>
      </c>
      <c r="BD43" s="35">
        <v>110.387491591446</v>
      </c>
      <c r="BE43" s="36">
        <f t="shared" si="110"/>
        <v>0.365676202756386</v>
      </c>
      <c r="BF43" s="35">
        <v>106.739749667006</v>
      </c>
      <c r="BG43" s="36">
        <f t="shared" si="111"/>
        <v>0.147834602000275</v>
      </c>
      <c r="BH43" s="35">
        <v>107.050295162719</v>
      </c>
      <c r="BI43" s="36">
        <f t="shared" si="112"/>
        <v>0.456934373821306</v>
      </c>
      <c r="BJ43" s="35">
        <v>118.605054667766</v>
      </c>
      <c r="BK43" s="36">
        <f t="shared" si="113"/>
        <v>0.398118052697463</v>
      </c>
      <c r="BL43" s="35">
        <v>124.650139095181</v>
      </c>
      <c r="BM43" s="36">
        <f t="shared" si="114"/>
        <v>0.237403534468992</v>
      </c>
      <c r="BN43" s="35">
        <v>141.011191926731</v>
      </c>
      <c r="BO43" s="36">
        <f t="shared" si="115"/>
        <v>0.264541674663619</v>
      </c>
      <c r="BP43" s="35">
        <v>140.755898801318</v>
      </c>
      <c r="BQ43" s="36">
        <f t="shared" si="116"/>
        <v>0.211812152243328</v>
      </c>
      <c r="BR43" s="35">
        <v>150.797403471632</v>
      </c>
      <c r="BS43" s="36">
        <f t="shared" si="117"/>
        <v>0.46777341916817</v>
      </c>
      <c r="BT43" s="35">
        <v>137.481710516781</v>
      </c>
      <c r="BU43" s="36">
        <f t="shared" si="118"/>
        <v>0.194224189346037</v>
      </c>
      <c r="BV43" s="35">
        <f t="shared" si="119"/>
        <v>1409.01901687015</v>
      </c>
      <c r="BW43" s="36">
        <f t="shared" si="120"/>
        <v>0.312786918056429</v>
      </c>
      <c r="BX43" s="36"/>
      <c r="BY43" s="50">
        <v>36.418833862543</v>
      </c>
      <c r="BZ43" s="721">
        <f t="shared" si="121"/>
        <v>-0.672398382721311</v>
      </c>
      <c r="CA43" s="50">
        <v>75.744819487337</v>
      </c>
      <c r="CB43" s="721">
        <f t="shared" si="122"/>
        <v>-0.191757587391247</v>
      </c>
      <c r="CC43" s="41">
        <v>82.748244497269</v>
      </c>
      <c r="CD43" s="721">
        <f t="shared" si="123"/>
        <v>-0.358125167677925</v>
      </c>
      <c r="CE43" s="41">
        <v>80.8299151502</v>
      </c>
      <c r="CF43" s="721">
        <f t="shared" si="124"/>
        <v>-0.212945148733959</v>
      </c>
      <c r="CG43" s="41">
        <v>92.992273870291</v>
      </c>
      <c r="CH43" s="721">
        <f t="shared" si="125"/>
        <v>-0.205070832952285</v>
      </c>
      <c r="CI43" s="702">
        <v>73.476401604791</v>
      </c>
      <c r="CJ43" s="721">
        <f t="shared" si="126"/>
        <v>-0.306100155595003</v>
      </c>
      <c r="CK43" s="702">
        <v>84.83193135153</v>
      </c>
      <c r="CL43" s="721">
        <f t="shared" si="127"/>
        <v>-0.219024666920532</v>
      </c>
      <c r="CM43" s="41">
        <v>100.735237635047</v>
      </c>
      <c r="CN43" s="721">
        <f t="shared" si="128"/>
        <v>-0.103133763356858</v>
      </c>
      <c r="CO43" s="41">
        <v>111.511700050725</v>
      </c>
      <c r="CP43" s="721">
        <f t="shared" si="129"/>
        <v>0.0309349763758457</v>
      </c>
      <c r="CQ43" s="41">
        <v>116.153232611794</v>
      </c>
      <c r="CR43" s="721">
        <f t="shared" si="130"/>
        <v>0.235846993301743</v>
      </c>
      <c r="CS43" s="41">
        <v>102.738884287122</v>
      </c>
      <c r="CT43" s="721">
        <f t="shared" si="131"/>
        <v>0.0218912817949333</v>
      </c>
      <c r="CU43" s="41">
        <v>115.122195433059</v>
      </c>
      <c r="CV43" s="721">
        <f t="shared" si="132"/>
        <v>0.145061761867717</v>
      </c>
      <c r="CW43" s="41">
        <f t="shared" si="133"/>
        <v>1073.30366984171</v>
      </c>
      <c r="CX43" s="721">
        <f t="shared" si="134"/>
        <v>-0.165658439684839</v>
      </c>
      <c r="CY43" s="721"/>
      <c r="CZ43" s="721">
        <f t="shared" si="135"/>
        <v>0.12053188266411</v>
      </c>
      <c r="DA43" s="721">
        <f t="shared" si="136"/>
        <v>-0.115488377060544</v>
      </c>
      <c r="DB43" s="721"/>
      <c r="DC43" s="721"/>
      <c r="DD43" s="721"/>
      <c r="DE43" s="721"/>
      <c r="DF43" s="721"/>
      <c r="DG43" s="721"/>
      <c r="DH43" s="721"/>
      <c r="DI43" s="721"/>
      <c r="DJ43" s="721"/>
      <c r="DK43" s="721"/>
      <c r="DL43" s="206"/>
      <c r="DM43" s="742">
        <v>111.168052725337</v>
      </c>
      <c r="DN43" s="742">
        <v>93.715472370296</v>
      </c>
      <c r="DO43" s="731">
        <v>128.916480800338</v>
      </c>
      <c r="DP43" s="731">
        <v>102.699214699177</v>
      </c>
      <c r="DQ43" s="731">
        <v>116.981836527215</v>
      </c>
      <c r="DR43" s="731">
        <v>105.889059058365</v>
      </c>
      <c r="DS43" s="731">
        <v>108.623061136936</v>
      </c>
      <c r="DT43" s="731">
        <v>112.319132462926</v>
      </c>
      <c r="DU43" s="731">
        <v>108.165599776946</v>
      </c>
      <c r="DV43" s="731">
        <v>93.986742081618</v>
      </c>
      <c r="DW43" s="731">
        <v>103.405383590821</v>
      </c>
      <c r="DX43" s="731">
        <v>100.537979056503</v>
      </c>
      <c r="DY43" s="732">
        <v>-0.368759549940151</v>
      </c>
      <c r="DZ43" s="731">
        <f t="shared" si="137"/>
        <v>1286.40801428648</v>
      </c>
      <c r="EA43" s="733">
        <f t="shared" si="138"/>
        <v>-0.18880645820667</v>
      </c>
      <c r="EB43" s="733"/>
      <c r="EC43" s="737">
        <v>152.137595283492</v>
      </c>
      <c r="ED43" s="737">
        <v>70.564815322006</v>
      </c>
      <c r="EE43" s="737">
        <v>111.972554557332</v>
      </c>
      <c r="EF43" s="737">
        <v>131.832906705553</v>
      </c>
      <c r="EG43" s="737">
        <v>130.581868452361</v>
      </c>
      <c r="EH43" s="737">
        <v>149.605885346382</v>
      </c>
      <c r="EI43" s="737">
        <v>131.406089769465</v>
      </c>
      <c r="EJ43" s="737">
        <v>120.815723722319</v>
      </c>
      <c r="EK43" s="737">
        <v>138.313823619546</v>
      </c>
      <c r="EL43" s="737">
        <v>134.68348998743</v>
      </c>
      <c r="EM43" s="737">
        <v>154.636073369583</v>
      </c>
      <c r="EN43" s="737">
        <v>159.270495176554</v>
      </c>
      <c r="EO43" s="724">
        <f t="shared" si="139"/>
        <v>1585.82132131202</v>
      </c>
      <c r="EP43" s="36"/>
      <c r="EQ43" s="740">
        <f>SUM(EC43:EN43)</f>
        <v>1585.82132131202</v>
      </c>
    </row>
    <row r="44" ht="27" customHeight="1" spans="1:147">
      <c r="A44" s="45"/>
      <c r="B44" s="707" t="s">
        <v>91</v>
      </c>
      <c r="C44" s="35">
        <f>C45+C46</f>
        <v>17119.0346199699</v>
      </c>
      <c r="D44" s="36">
        <f t="shared" si="83"/>
        <v>0.0845040792611051</v>
      </c>
      <c r="E44" s="35">
        <f>E45+E46</f>
        <v>12817.7492598565</v>
      </c>
      <c r="F44" s="36">
        <f t="shared" si="84"/>
        <v>-0.184410921448476</v>
      </c>
      <c r="G44" s="35">
        <f>G45+G46</f>
        <v>15537.6809282648</v>
      </c>
      <c r="H44" s="36">
        <f t="shared" si="85"/>
        <v>-0.0883546298659325</v>
      </c>
      <c r="I44" s="35">
        <f>I45+I46</f>
        <v>14279.8732086144</v>
      </c>
      <c r="J44" s="36">
        <f t="shared" si="86"/>
        <v>-0.0589229773830894</v>
      </c>
      <c r="K44" s="35">
        <f>K45+K46</f>
        <v>13887.8838710167</v>
      </c>
      <c r="L44" s="36">
        <f t="shared" si="87"/>
        <v>-0.0674664265012183</v>
      </c>
      <c r="M44" s="35">
        <f>M45+M46</f>
        <v>15011.8106890651</v>
      </c>
      <c r="N44" s="36">
        <f t="shared" si="88"/>
        <v>-0.0268893068714772</v>
      </c>
      <c r="O44" s="35">
        <f>O45+O46</f>
        <v>12779.3314252366</v>
      </c>
      <c r="P44" s="36">
        <f t="shared" si="89"/>
        <v>-0.028892565117692</v>
      </c>
      <c r="Q44" s="127"/>
      <c r="R44" s="127"/>
      <c r="S44" s="35">
        <f t="shared" si="90"/>
        <v>101433.364002024</v>
      </c>
      <c r="T44" s="36">
        <f t="shared" si="91"/>
        <v>-0.160114909098249</v>
      </c>
      <c r="U44" s="36"/>
      <c r="V44" s="35">
        <f>V45+V46</f>
        <v>15785.1269970634</v>
      </c>
      <c r="W44" s="36">
        <f t="shared" si="92"/>
        <v>-0.139634989208823</v>
      </c>
      <c r="X44" s="35">
        <f>X45+X46</f>
        <v>15715.9402902019</v>
      </c>
      <c r="Y44" s="36">
        <f t="shared" si="93"/>
        <v>0.383229006668026</v>
      </c>
      <c r="Z44" s="35">
        <f>Z45+Z46</f>
        <v>17043.5582050724</v>
      </c>
      <c r="AA44" s="36">
        <f t="shared" si="94"/>
        <v>0.167838820180054</v>
      </c>
      <c r="AB44" s="35">
        <f>AB45+AB46</f>
        <v>15173.9686183236</v>
      </c>
      <c r="AC44" s="36">
        <f t="shared" si="95"/>
        <v>0.147813986694905</v>
      </c>
      <c r="AD44" s="35">
        <f>AD45+AD46</f>
        <v>14892.6368612238</v>
      </c>
      <c r="AE44" s="36">
        <f t="shared" si="96"/>
        <v>0.154331876791372</v>
      </c>
      <c r="AF44" s="35">
        <f>AF45+AF46</f>
        <v>15426.6218582005</v>
      </c>
      <c r="AG44" s="36">
        <f t="shared" si="97"/>
        <v>0.154466453129308</v>
      </c>
      <c r="AH44" s="35">
        <f>AH45+AH46</f>
        <v>13159.5444192901</v>
      </c>
      <c r="AI44" s="36">
        <f t="shared" si="98"/>
        <v>-0.021068970281132</v>
      </c>
      <c r="AJ44" s="35">
        <f>AJ45+AJ46</f>
        <v>13573.1285056642</v>
      </c>
      <c r="AK44" s="36">
        <f t="shared" si="99"/>
        <v>-0.00830668686939584</v>
      </c>
      <c r="AL44" s="35">
        <f>AL45+AL46</f>
        <v>14946.7082405721</v>
      </c>
      <c r="AM44" s="36">
        <f t="shared" si="100"/>
        <v>0.0310331545016995</v>
      </c>
      <c r="AN44" s="35">
        <f>AN45+AN46</f>
        <v>15735.1064968584</v>
      </c>
      <c r="AO44" s="36">
        <f t="shared" si="101"/>
        <v>-0.0287891813772444</v>
      </c>
      <c r="AP44" s="35">
        <f>AP45+AP46</f>
        <v>17922.2165750789</v>
      </c>
      <c r="AQ44" s="36">
        <f t="shared" si="102"/>
        <v>-0.0654082865911044</v>
      </c>
      <c r="AR44" s="35">
        <f>AR45+AR46</f>
        <v>21097.5083710597</v>
      </c>
      <c r="AS44" s="36">
        <f t="shared" si="103"/>
        <v>-0.257791021907999</v>
      </c>
      <c r="AT44" s="35">
        <f t="shared" si="104"/>
        <v>190472.065438609</v>
      </c>
      <c r="AU44" s="36">
        <f t="shared" si="105"/>
        <v>0.00663497751489839</v>
      </c>
      <c r="AV44" s="36"/>
      <c r="AW44" s="35">
        <f t="shared" si="106"/>
        <v>160791.323491235</v>
      </c>
      <c r="AX44" s="35">
        <f>AX45+AX46</f>
        <v>18347.011790435</v>
      </c>
      <c r="AY44" s="36">
        <f t="shared" si="107"/>
        <v>0.550960427420308</v>
      </c>
      <c r="AZ44" s="35">
        <f>AZ45+AZ46</f>
        <v>11361.7775613736</v>
      </c>
      <c r="BA44" s="36">
        <f t="shared" si="108"/>
        <v>-0.17727628977397</v>
      </c>
      <c r="BB44" s="35">
        <f>BB45+BB46</f>
        <v>14594.1014381117</v>
      </c>
      <c r="BC44" s="36">
        <f t="shared" si="109"/>
        <v>0.0820272196775393</v>
      </c>
      <c r="BD44" s="35">
        <f>BD45+BD46</f>
        <v>13219.8847498074</v>
      </c>
      <c r="BE44" s="36">
        <f t="shared" si="110"/>
        <v>0.147164383327678</v>
      </c>
      <c r="BF44" s="35">
        <f>BF45+BF46</f>
        <v>12901.5209236186</v>
      </c>
      <c r="BG44" s="36">
        <f t="shared" si="111"/>
        <v>0.0909999480640502</v>
      </c>
      <c r="BH44" s="35">
        <f>BH45+BH46</f>
        <v>13362.555331413</v>
      </c>
      <c r="BI44" s="36">
        <f t="shared" si="112"/>
        <v>-0.0317796218651708</v>
      </c>
      <c r="BJ44" s="35">
        <f>BJ45+BJ46</f>
        <v>13442.7697353401</v>
      </c>
      <c r="BK44" s="36">
        <f t="shared" si="113"/>
        <v>0.00195165435038169</v>
      </c>
      <c r="BL44" s="35">
        <f>BL45+BL46</f>
        <v>13686.8206389495</v>
      </c>
      <c r="BM44" s="36">
        <f t="shared" si="114"/>
        <v>-0.0630242001372638</v>
      </c>
      <c r="BN44" s="35">
        <f>BN45+BN46</f>
        <v>14496.825999544</v>
      </c>
      <c r="BO44" s="36">
        <f t="shared" si="115"/>
        <v>-0.0632763678660448</v>
      </c>
      <c r="BP44" s="35">
        <f>BP45+BP46</f>
        <v>16201.5354392076</v>
      </c>
      <c r="BQ44" s="36">
        <f t="shared" si="116"/>
        <v>-0.0833164309210738</v>
      </c>
      <c r="BR44" s="35">
        <f>BR45+BR46</f>
        <v>19176.5198834346</v>
      </c>
      <c r="BS44" s="36">
        <f t="shared" si="117"/>
        <v>-0.0887485906480693</v>
      </c>
      <c r="BT44" s="35">
        <f>BT45+BT46</f>
        <v>28425.2939452378</v>
      </c>
      <c r="BU44" s="36">
        <f t="shared" si="118"/>
        <v>0.158377901904107</v>
      </c>
      <c r="BV44" s="35">
        <f t="shared" si="119"/>
        <v>189216.617436473</v>
      </c>
      <c r="BW44" s="36">
        <f t="shared" si="120"/>
        <v>0.0337733616364853</v>
      </c>
      <c r="BX44" s="36"/>
      <c r="BY44" s="41">
        <f>BY45+BY46</f>
        <v>11829.45190997</v>
      </c>
      <c r="BZ44" s="721">
        <f t="shared" si="121"/>
        <v>0.00164170721705137</v>
      </c>
      <c r="CA44" s="41">
        <f>CA45+CA46</f>
        <v>13809.9551771179</v>
      </c>
      <c r="CB44" s="721">
        <f t="shared" si="122"/>
        <v>0.558190270180451</v>
      </c>
      <c r="CC44" s="41">
        <f>SUM(CC45:CC46)</f>
        <v>13487.7396545172</v>
      </c>
      <c r="CD44" s="721">
        <f t="shared" si="123"/>
        <v>0.130726999603675</v>
      </c>
      <c r="CE44" s="41">
        <v>11523.967220338</v>
      </c>
      <c r="CF44" s="721">
        <f t="shared" si="124"/>
        <v>0.126557556702138</v>
      </c>
      <c r="CG44" s="41">
        <v>11825.4092921929</v>
      </c>
      <c r="CH44" s="721">
        <f t="shared" si="125"/>
        <v>0.0378267159100312</v>
      </c>
      <c r="CI44" s="41">
        <f>CI45+CI46</f>
        <v>13801.1506813712</v>
      </c>
      <c r="CJ44" s="721">
        <f t="shared" si="126"/>
        <v>0.227147392549276</v>
      </c>
      <c r="CK44" s="41">
        <f>CK45+CK46</f>
        <v>13416.5851984702</v>
      </c>
      <c r="CL44" s="721">
        <f t="shared" si="127"/>
        <v>0.191043124646968</v>
      </c>
      <c r="CM44" s="41">
        <v>14607.4430534434</v>
      </c>
      <c r="CN44" s="721">
        <f t="shared" si="128"/>
        <v>0.230428541082028</v>
      </c>
      <c r="CO44" s="41">
        <f>SUM(CO45:CO46)</f>
        <v>15476.0972203922</v>
      </c>
      <c r="CP44" s="721">
        <f t="shared" si="129"/>
        <v>0.0568944794916173</v>
      </c>
      <c r="CQ44" s="41">
        <f>SUM(CQ45:CQ46)</f>
        <v>17674.0764051075</v>
      </c>
      <c r="CR44" s="721">
        <f t="shared" si="130"/>
        <v>0.0165018029594906</v>
      </c>
      <c r="CS44" s="41">
        <f>CS45+CS46</f>
        <v>21044.1593687879</v>
      </c>
      <c r="CT44" s="721">
        <f t="shared" si="131"/>
        <v>0.0772929108771361</v>
      </c>
      <c r="CU44" s="41">
        <f>CU45+CU46</f>
        <v>24538.8779417435</v>
      </c>
      <c r="CV44" s="721">
        <f t="shared" si="132"/>
        <v>0.256194594626008</v>
      </c>
      <c r="CW44" s="41">
        <f t="shared" si="133"/>
        <v>183034.913123452</v>
      </c>
      <c r="CX44" s="721">
        <f t="shared" si="134"/>
        <v>0.145711866455804</v>
      </c>
      <c r="CY44" s="721"/>
      <c r="CZ44" s="721">
        <f t="shared" si="135"/>
        <v>0.166065962137641</v>
      </c>
      <c r="DA44" s="721">
        <f t="shared" si="136"/>
        <v>0.190679438429183</v>
      </c>
      <c r="DB44" s="721"/>
      <c r="DC44" s="721"/>
      <c r="DD44" s="721"/>
      <c r="DE44" s="721"/>
      <c r="DF44" s="721"/>
      <c r="DG44" s="721"/>
      <c r="DH44" s="721"/>
      <c r="DI44" s="721"/>
      <c r="DJ44" s="721"/>
      <c r="DK44" s="721"/>
      <c r="DM44" s="41">
        <v>11810.0632439086</v>
      </c>
      <c r="DN44" s="41">
        <v>8862.81697518148</v>
      </c>
      <c r="DO44" s="41">
        <v>11928.3785204074</v>
      </c>
      <c r="DP44" s="41">
        <v>10229.3639164545</v>
      </c>
      <c r="DQ44" s="41">
        <v>11394.3966857932</v>
      </c>
      <c r="DR44" s="41">
        <v>11246.5305839918</v>
      </c>
      <c r="DS44" s="41">
        <v>11264.5671015875</v>
      </c>
      <c r="DT44" s="41">
        <v>11871.8337276196</v>
      </c>
      <c r="DU44" s="41">
        <v>14642.9918224537</v>
      </c>
      <c r="DV44" s="41">
        <v>17387.1569668154</v>
      </c>
      <c r="DW44" s="41">
        <v>19584.0996658853</v>
      </c>
      <c r="DX44" s="41">
        <v>19534.2967138377</v>
      </c>
      <c r="DY44" s="721">
        <v>0.247606487543701</v>
      </c>
      <c r="DZ44" s="41">
        <f t="shared" si="137"/>
        <v>159756.495923936</v>
      </c>
      <c r="EA44" s="36">
        <f t="shared" si="138"/>
        <v>0.0628554927514051</v>
      </c>
      <c r="EB44" s="36"/>
      <c r="EC44" s="737">
        <f t="shared" ref="EC44:EN44" si="141">EC45+EC46</f>
        <v>14261.7100189913</v>
      </c>
      <c r="ED44" s="737">
        <f t="shared" si="141"/>
        <v>7820.82299468052</v>
      </c>
      <c r="EE44" s="737">
        <f t="shared" si="141"/>
        <v>10331.1858247956</v>
      </c>
      <c r="EF44" s="737">
        <f t="shared" si="141"/>
        <v>11709.5549447341</v>
      </c>
      <c r="EG44" s="737">
        <f t="shared" si="141"/>
        <v>11535.4389318172</v>
      </c>
      <c r="EH44" s="737">
        <f t="shared" si="141"/>
        <v>13091.6234067061</v>
      </c>
      <c r="EI44" s="737">
        <f t="shared" si="141"/>
        <v>11692.3959223058</v>
      </c>
      <c r="EJ44" s="737">
        <f t="shared" si="141"/>
        <v>12429.0453641281</v>
      </c>
      <c r="EK44" s="737">
        <f t="shared" si="141"/>
        <v>13285.0679960585</v>
      </c>
      <c r="EL44" s="737">
        <f t="shared" si="141"/>
        <v>13174.1897691758</v>
      </c>
      <c r="EM44" s="50">
        <f t="shared" si="141"/>
        <v>15320.3109432689</v>
      </c>
      <c r="EN44" s="50">
        <f t="shared" si="141"/>
        <v>15657.4183517569</v>
      </c>
      <c r="EO44" s="724">
        <f t="shared" si="139"/>
        <v>150308.764468419</v>
      </c>
      <c r="EP44" s="36"/>
      <c r="EQ44" s="738"/>
    </row>
    <row r="45" ht="27" customHeight="1" spans="1:147">
      <c r="A45" s="45"/>
      <c r="B45" s="707" t="s">
        <v>92</v>
      </c>
      <c r="C45" s="35">
        <v>5007.3952</v>
      </c>
      <c r="D45" s="36">
        <f t="shared" si="83"/>
        <v>-0.447810000054255</v>
      </c>
      <c r="E45" s="35">
        <v>5066.8202</v>
      </c>
      <c r="F45" s="36">
        <f t="shared" si="84"/>
        <v>-0.4766134654522</v>
      </c>
      <c r="G45" s="35">
        <v>5704.8297</v>
      </c>
      <c r="H45" s="36">
        <f t="shared" si="85"/>
        <v>-0.522742596489792</v>
      </c>
      <c r="I45" s="35">
        <v>5032.3218</v>
      </c>
      <c r="J45" s="36">
        <f t="shared" si="86"/>
        <v>-0.479565287751794</v>
      </c>
      <c r="K45" s="35">
        <v>4849.3545</v>
      </c>
      <c r="L45" s="36">
        <f t="shared" si="87"/>
        <v>-0.462226866095495</v>
      </c>
      <c r="M45" s="35">
        <v>4836.8822</v>
      </c>
      <c r="N45" s="36">
        <f t="shared" si="88"/>
        <v>-0.469916450573179</v>
      </c>
      <c r="O45" s="35">
        <v>1218.075</v>
      </c>
      <c r="P45" s="36">
        <f t="shared" si="89"/>
        <v>-0.610097844050661</v>
      </c>
      <c r="Q45" s="127"/>
      <c r="R45" s="127"/>
      <c r="S45" s="35">
        <f t="shared" si="90"/>
        <v>31715.6786</v>
      </c>
      <c r="T45" s="36">
        <f t="shared" si="91"/>
        <v>-0.515522209491389</v>
      </c>
      <c r="U45" s="36"/>
      <c r="V45" s="35">
        <v>9068.2468</v>
      </c>
      <c r="W45" s="36">
        <f t="shared" si="92"/>
        <v>-0.260835549849331</v>
      </c>
      <c r="X45" s="35">
        <v>9680.8379</v>
      </c>
      <c r="Y45" s="36">
        <f t="shared" si="93"/>
        <v>-0.00408613399062885</v>
      </c>
      <c r="Z45" s="35">
        <v>11953.3603</v>
      </c>
      <c r="AA45" s="36">
        <f t="shared" si="94"/>
        <v>0.515819598278193</v>
      </c>
      <c r="AB45" s="35">
        <v>9669.4584</v>
      </c>
      <c r="AC45" s="36">
        <f t="shared" si="95"/>
        <v>0.446113751666975</v>
      </c>
      <c r="AD45" s="35">
        <v>9017.4726</v>
      </c>
      <c r="AE45" s="36">
        <f t="shared" si="96"/>
        <v>0.466754475387704</v>
      </c>
      <c r="AF45" s="35">
        <v>9124.7544</v>
      </c>
      <c r="AG45" s="36">
        <f t="shared" si="97"/>
        <v>0.473740103225635</v>
      </c>
      <c r="AH45" s="35">
        <v>3124.053</v>
      </c>
      <c r="AI45" s="36">
        <f t="shared" si="98"/>
        <v>-0.413578630507082</v>
      </c>
      <c r="AJ45" s="35">
        <v>3825.4544</v>
      </c>
      <c r="AK45" s="36">
        <f t="shared" si="99"/>
        <v>-0.212476043330371</v>
      </c>
      <c r="AL45" s="35">
        <v>4235.0173</v>
      </c>
      <c r="AM45" s="36">
        <f t="shared" si="100"/>
        <v>0.0231106093044513</v>
      </c>
      <c r="AN45" s="35">
        <v>4101.1481</v>
      </c>
      <c r="AO45" s="36">
        <f t="shared" si="101"/>
        <v>-0.152621053401727</v>
      </c>
      <c r="AP45" s="35">
        <v>4113.2192</v>
      </c>
      <c r="AQ45" s="36">
        <f t="shared" si="102"/>
        <v>-0.419217641581383</v>
      </c>
      <c r="AR45" s="35">
        <v>4842.5816</v>
      </c>
      <c r="AS45" s="36">
        <f t="shared" si="103"/>
        <v>-0.79773198324189</v>
      </c>
      <c r="AT45" s="35">
        <f t="shared" si="104"/>
        <v>82755.604</v>
      </c>
      <c r="AU45" s="36">
        <f t="shared" si="105"/>
        <v>-0.164828745733423</v>
      </c>
      <c r="AV45" s="36"/>
      <c r="AW45" s="35">
        <f t="shared" si="106"/>
        <v>75146.7749</v>
      </c>
      <c r="AX45" s="35">
        <v>12268.2399</v>
      </c>
      <c r="AY45" s="36">
        <f t="shared" si="107"/>
        <v>0.204599159597411</v>
      </c>
      <c r="AZ45" s="35">
        <v>9720.5574</v>
      </c>
      <c r="BA45" s="36">
        <f t="shared" si="108"/>
        <v>-0.0502078161948749</v>
      </c>
      <c r="BB45" s="35">
        <v>7885.7407</v>
      </c>
      <c r="BC45" s="36">
        <f t="shared" si="109"/>
        <v>0.0267562118840354</v>
      </c>
      <c r="BD45" s="35">
        <v>6686.513</v>
      </c>
      <c r="BE45" s="36">
        <f t="shared" si="110"/>
        <v>0.133708736320665</v>
      </c>
      <c r="BF45" s="35">
        <v>6147.9087</v>
      </c>
      <c r="BG45" s="36">
        <f t="shared" si="111"/>
        <v>0.306144287024243</v>
      </c>
      <c r="BH45" s="35">
        <v>6191.5628</v>
      </c>
      <c r="BI45" s="36">
        <f t="shared" si="112"/>
        <v>-0.347327313218414</v>
      </c>
      <c r="BJ45" s="35">
        <v>5327.3178</v>
      </c>
      <c r="BK45" s="36">
        <f t="shared" si="113"/>
        <v>-0.365296275296534</v>
      </c>
      <c r="BL45" s="35">
        <v>4857.5721</v>
      </c>
      <c r="BM45" s="36">
        <f t="shared" si="114"/>
        <v>-0.425270081191242</v>
      </c>
      <c r="BN45" s="35">
        <v>4139.3543</v>
      </c>
      <c r="BO45" s="36">
        <f t="shared" si="115"/>
        <v>-0.47265638919178</v>
      </c>
      <c r="BP45" s="35">
        <v>4839.8041</v>
      </c>
      <c r="BQ45" s="36">
        <f t="shared" si="116"/>
        <v>-0.461694941654045</v>
      </c>
      <c r="BR45" s="35">
        <v>7082.2041</v>
      </c>
      <c r="BS45" s="36">
        <f t="shared" si="117"/>
        <v>-0.452419002718125</v>
      </c>
      <c r="BT45" s="35">
        <v>23941.4104</v>
      </c>
      <c r="BU45" s="36">
        <f t="shared" si="118"/>
        <v>0.276623784321434</v>
      </c>
      <c r="BV45" s="35">
        <f t="shared" si="119"/>
        <v>99088.1853</v>
      </c>
      <c r="BW45" s="36">
        <f t="shared" si="120"/>
        <v>-0.127463278728773</v>
      </c>
      <c r="BX45" s="36"/>
      <c r="BY45" s="50">
        <v>10184.4998</v>
      </c>
      <c r="BZ45" s="721">
        <f t="shared" si="121"/>
        <v>12.4717708556827</v>
      </c>
      <c r="CA45" s="50">
        <v>10234.4045</v>
      </c>
      <c r="CB45" s="721">
        <f t="shared" si="122"/>
        <v>13.9565839249821</v>
      </c>
      <c r="CC45" s="41">
        <v>7680.2464</v>
      </c>
      <c r="CD45" s="721">
        <f t="shared" si="123"/>
        <v>10.7816548951052</v>
      </c>
      <c r="CE45" s="41">
        <v>5897.9108</v>
      </c>
      <c r="CF45" s="721">
        <f t="shared" si="124"/>
        <v>8.15862345267313</v>
      </c>
      <c r="CG45" s="41">
        <v>4706.9139</v>
      </c>
      <c r="CH45" s="721">
        <f t="shared" si="125"/>
        <v>5.83610987297849</v>
      </c>
      <c r="CI45" s="702">
        <v>9486.4745</v>
      </c>
      <c r="CJ45" s="721">
        <f t="shared" si="126"/>
        <v>9.82034124686618</v>
      </c>
      <c r="CK45" s="702">
        <v>8393.393</v>
      </c>
      <c r="CL45" s="721">
        <f t="shared" si="127"/>
        <v>9.32642550410479</v>
      </c>
      <c r="CM45" s="41">
        <v>8451.9214</v>
      </c>
      <c r="CN45" s="721">
        <f t="shared" si="128"/>
        <v>8.92176430613271</v>
      </c>
      <c r="CO45" s="702">
        <v>7849.4443</v>
      </c>
      <c r="CP45" s="721">
        <f t="shared" si="129"/>
        <v>-0.0963725954772675</v>
      </c>
      <c r="CQ45" s="702">
        <v>8990.8204</v>
      </c>
      <c r="CR45" s="721">
        <f t="shared" si="130"/>
        <v>-0.114395967766561</v>
      </c>
      <c r="CS45" s="50">
        <v>12933.6192</v>
      </c>
      <c r="CT45" s="721">
        <f t="shared" si="131"/>
        <v>0.159270202235953</v>
      </c>
      <c r="CU45" s="50">
        <v>18753.6929</v>
      </c>
      <c r="CV45" s="721">
        <f t="shared" si="132"/>
        <v>0.680936868842865</v>
      </c>
      <c r="CW45" s="41">
        <f t="shared" si="133"/>
        <v>113563.3411</v>
      </c>
      <c r="CX45" s="721">
        <f t="shared" si="134"/>
        <v>1.40092382488184</v>
      </c>
      <c r="CY45" s="721"/>
      <c r="CZ45" s="721">
        <f t="shared" si="135"/>
        <v>0.449995752155746</v>
      </c>
      <c r="DA45" s="721">
        <f t="shared" si="136"/>
        <v>0.43853604282875</v>
      </c>
      <c r="DB45" s="721"/>
      <c r="DC45" s="721"/>
      <c r="DD45" s="721"/>
      <c r="DE45" s="721"/>
      <c r="DF45" s="721"/>
      <c r="DG45" s="721"/>
      <c r="DH45" s="721"/>
      <c r="DI45" s="721"/>
      <c r="DJ45" s="721"/>
      <c r="DK45" s="721"/>
      <c r="DM45" s="50">
        <v>755.9882</v>
      </c>
      <c r="DN45" s="50">
        <v>684.2742</v>
      </c>
      <c r="DO45" s="41">
        <v>651.8818</v>
      </c>
      <c r="DP45" s="41">
        <v>643.9735</v>
      </c>
      <c r="DQ45" s="41">
        <v>688.5369</v>
      </c>
      <c r="DR45" s="41">
        <v>876.726</v>
      </c>
      <c r="DS45" s="41">
        <v>812.8072</v>
      </c>
      <c r="DT45" s="41">
        <v>851.8567</v>
      </c>
      <c r="DU45" s="41">
        <v>8686.5939</v>
      </c>
      <c r="DV45" s="41">
        <v>10152.19</v>
      </c>
      <c r="DW45" s="41">
        <v>11338.3326</v>
      </c>
      <c r="DX45" s="41">
        <v>11156.6908</v>
      </c>
      <c r="DY45" s="721">
        <v>13.8027620912476</v>
      </c>
      <c r="DZ45" s="41">
        <f t="shared" si="137"/>
        <v>47299.8518</v>
      </c>
      <c r="EA45" s="36">
        <f t="shared" si="138"/>
        <v>3.96851164889063</v>
      </c>
      <c r="EB45" s="36"/>
      <c r="EC45" s="737">
        <v>936.8451</v>
      </c>
      <c r="ED45" s="737">
        <v>756.8276</v>
      </c>
      <c r="EE45" s="737">
        <v>945.0325</v>
      </c>
      <c r="EF45" s="737">
        <v>781.1431</v>
      </c>
      <c r="EG45" s="737">
        <v>733.3142</v>
      </c>
      <c r="EH45" s="737">
        <v>695.4321</v>
      </c>
      <c r="EI45" s="737">
        <v>709.7047</v>
      </c>
      <c r="EJ45" s="737">
        <v>772.2527</v>
      </c>
      <c r="EK45" s="737">
        <v>835.6722</v>
      </c>
      <c r="EL45" s="737">
        <v>807.7691</v>
      </c>
      <c r="EM45" s="737">
        <v>792.2406</v>
      </c>
      <c r="EN45" s="737">
        <v>753.6898</v>
      </c>
      <c r="EO45" s="717">
        <f t="shared" si="139"/>
        <v>9519.9237</v>
      </c>
      <c r="EP45" s="36"/>
      <c r="EQ45" s="740">
        <f>SUM(EC45:EN45)</f>
        <v>9519.9237</v>
      </c>
    </row>
    <row r="46" ht="27" customHeight="1" spans="1:147">
      <c r="A46" s="29"/>
      <c r="B46" s="707" t="s">
        <v>93</v>
      </c>
      <c r="C46" s="35">
        <v>12111.6394199699</v>
      </c>
      <c r="D46" s="36">
        <f t="shared" si="83"/>
        <v>0.80316442524388</v>
      </c>
      <c r="E46" s="35">
        <v>7750.92905985654</v>
      </c>
      <c r="F46" s="36">
        <f t="shared" si="84"/>
        <v>0.284307797733524</v>
      </c>
      <c r="G46" s="35">
        <v>9832.85122826477</v>
      </c>
      <c r="H46" s="36">
        <f t="shared" si="85"/>
        <v>0.931722776135337</v>
      </c>
      <c r="I46" s="35">
        <v>9247.55140861444</v>
      </c>
      <c r="J46" s="36">
        <f t="shared" si="86"/>
        <v>0.679995320533846</v>
      </c>
      <c r="K46" s="35">
        <v>9038.52937101671</v>
      </c>
      <c r="L46" s="36">
        <f t="shared" si="87"/>
        <v>0.538430070912431</v>
      </c>
      <c r="M46" s="35">
        <v>10174.9284890651</v>
      </c>
      <c r="N46" s="36">
        <f t="shared" si="88"/>
        <v>0.614589414416305</v>
      </c>
      <c r="O46" s="35">
        <v>11561.2564252366</v>
      </c>
      <c r="P46" s="36">
        <f t="shared" si="89"/>
        <v>0.152036900057898</v>
      </c>
      <c r="Q46" s="127"/>
      <c r="R46" s="127"/>
      <c r="S46" s="35">
        <f t="shared" si="90"/>
        <v>69717.6854020241</v>
      </c>
      <c r="T46" s="36">
        <f t="shared" si="91"/>
        <v>0.260560627795564</v>
      </c>
      <c r="U46" s="36"/>
      <c r="V46" s="35">
        <v>6716.88019706344</v>
      </c>
      <c r="W46" s="36">
        <f t="shared" si="92"/>
        <v>0.10497322783777</v>
      </c>
      <c r="X46" s="35">
        <v>6035.10239020191</v>
      </c>
      <c r="Y46" s="36">
        <f t="shared" si="93"/>
        <v>2.67720463849944</v>
      </c>
      <c r="Z46" s="35">
        <v>5090.19790507242</v>
      </c>
      <c r="AA46" s="36">
        <f t="shared" si="94"/>
        <v>-0.241215834420792</v>
      </c>
      <c r="AB46" s="35">
        <v>5504.51021832363</v>
      </c>
      <c r="AC46" s="36">
        <f t="shared" si="95"/>
        <v>-0.157477879857995</v>
      </c>
      <c r="AD46" s="35">
        <v>5875.1642612238</v>
      </c>
      <c r="AE46" s="36">
        <f t="shared" si="96"/>
        <v>-0.130070832216677</v>
      </c>
      <c r="AF46" s="35">
        <v>6301.86745820049</v>
      </c>
      <c r="AG46" s="36">
        <f t="shared" si="97"/>
        <v>-0.121200108549165</v>
      </c>
      <c r="AH46" s="35">
        <v>10035.4914192901</v>
      </c>
      <c r="AI46" s="36">
        <f t="shared" si="98"/>
        <v>0.236590580444311</v>
      </c>
      <c r="AJ46" s="35">
        <v>9747.67410566416</v>
      </c>
      <c r="AK46" s="36">
        <f t="shared" si="99"/>
        <v>0.104020807961527</v>
      </c>
      <c r="AL46" s="35">
        <v>10711.6909405721</v>
      </c>
      <c r="AM46" s="36">
        <f t="shared" si="100"/>
        <v>0.0341993926030901</v>
      </c>
      <c r="AN46" s="35">
        <v>11633.9583968584</v>
      </c>
      <c r="AO46" s="36">
        <f t="shared" si="101"/>
        <v>0.0239599977788056</v>
      </c>
      <c r="AP46" s="35">
        <v>13808.9973750789</v>
      </c>
      <c r="AQ46" s="36">
        <f t="shared" si="102"/>
        <v>0.141775824473913</v>
      </c>
      <c r="AR46" s="35">
        <v>16254.9267710597</v>
      </c>
      <c r="AS46" s="36">
        <f t="shared" si="103"/>
        <v>2.62518932685564</v>
      </c>
      <c r="AT46" s="35">
        <f t="shared" si="104"/>
        <v>107716.461438609</v>
      </c>
      <c r="AU46" s="36">
        <f t="shared" si="105"/>
        <v>0.1951440725775</v>
      </c>
      <c r="AV46" s="36"/>
      <c r="AW46" s="35">
        <f t="shared" si="106"/>
        <v>85644.5485912351</v>
      </c>
      <c r="AX46" s="35">
        <v>6078.77189043498</v>
      </c>
      <c r="AY46" s="36">
        <f t="shared" si="107"/>
        <v>2.69540964359503</v>
      </c>
      <c r="AZ46" s="35">
        <v>1641.22016137363</v>
      </c>
      <c r="BA46" s="36">
        <f t="shared" si="108"/>
        <v>-0.540988141525506</v>
      </c>
      <c r="BB46" s="35">
        <v>6708.36073811172</v>
      </c>
      <c r="BC46" s="36">
        <f t="shared" si="109"/>
        <v>0.155121572098913</v>
      </c>
      <c r="BD46" s="35">
        <v>6533.37174980742</v>
      </c>
      <c r="BE46" s="36">
        <f t="shared" si="110"/>
        <v>0.161270215170531</v>
      </c>
      <c r="BF46" s="35">
        <v>6753.61222361859</v>
      </c>
      <c r="BG46" s="36">
        <f t="shared" si="111"/>
        <v>-0.0512584680429137</v>
      </c>
      <c r="BH46" s="35">
        <v>7170.992531413</v>
      </c>
      <c r="BI46" s="36">
        <f t="shared" si="112"/>
        <v>0.662000166402761</v>
      </c>
      <c r="BJ46" s="35">
        <v>8115.45193534008</v>
      </c>
      <c r="BK46" s="36">
        <f t="shared" si="113"/>
        <v>0.615596539947563</v>
      </c>
      <c r="BL46" s="35">
        <v>8829.2485389495</v>
      </c>
      <c r="BM46" s="36">
        <f t="shared" si="114"/>
        <v>0.434362355627562</v>
      </c>
      <c r="BN46" s="35">
        <v>10357.471699544</v>
      </c>
      <c r="BO46" s="36">
        <f t="shared" si="115"/>
        <v>0.358062548231362</v>
      </c>
      <c r="BP46" s="35">
        <v>11361.7313392076</v>
      </c>
      <c r="BQ46" s="36">
        <f t="shared" si="116"/>
        <v>0.308464397747181</v>
      </c>
      <c r="BR46" s="35">
        <v>12094.3157834346</v>
      </c>
      <c r="BS46" s="36">
        <f t="shared" si="117"/>
        <v>0.491184992829162</v>
      </c>
      <c r="BT46" s="35">
        <v>4483.8835452378</v>
      </c>
      <c r="BU46" s="36">
        <f t="shared" si="118"/>
        <v>-0.224936883974505</v>
      </c>
      <c r="BV46" s="35">
        <f t="shared" si="119"/>
        <v>90128.4321364729</v>
      </c>
      <c r="BW46" s="36">
        <f t="shared" si="120"/>
        <v>0.297342632552604</v>
      </c>
      <c r="BX46" s="36"/>
      <c r="BY46" s="50">
        <v>1644.95210996996</v>
      </c>
      <c r="BZ46" s="721">
        <f t="shared" si="121"/>
        <v>-0.851190433986024</v>
      </c>
      <c r="CA46" s="50">
        <v>3575.55067711792</v>
      </c>
      <c r="CB46" s="721">
        <f t="shared" si="122"/>
        <v>-0.562813232698587</v>
      </c>
      <c r="CC46" s="41">
        <v>5807.49325451718</v>
      </c>
      <c r="CD46" s="721">
        <f t="shared" si="123"/>
        <v>-0.484991358707426</v>
      </c>
      <c r="CE46" s="41">
        <v>5626.05642033797</v>
      </c>
      <c r="CF46" s="721">
        <f t="shared" si="124"/>
        <v>-0.413059231194154</v>
      </c>
      <c r="CG46" s="41">
        <v>7118.49539219294</v>
      </c>
      <c r="CH46" s="721">
        <f t="shared" si="125"/>
        <v>-0.335084193645123</v>
      </c>
      <c r="CI46" s="50">
        <v>4314.67618137122</v>
      </c>
      <c r="CJ46" s="721">
        <f t="shared" si="126"/>
        <v>-0.583919239130897</v>
      </c>
      <c r="CK46" s="702">
        <v>5023.19219847022</v>
      </c>
      <c r="CL46" s="721">
        <f t="shared" si="127"/>
        <v>-0.51939269120531</v>
      </c>
      <c r="CM46" s="41">
        <v>6155.52165344337</v>
      </c>
      <c r="CN46" s="721">
        <f t="shared" si="128"/>
        <v>-0.441421553056267</v>
      </c>
      <c r="CO46" s="41">
        <v>7626.65292039221</v>
      </c>
      <c r="CP46" s="721">
        <f t="shared" si="129"/>
        <v>0.280413602261564</v>
      </c>
      <c r="CQ46" s="41">
        <v>8683.25600510752</v>
      </c>
      <c r="CR46" s="721">
        <f t="shared" si="130"/>
        <v>0.200179080973686</v>
      </c>
      <c r="CS46" s="41">
        <v>8110.54016878789</v>
      </c>
      <c r="CT46" s="721">
        <f t="shared" si="131"/>
        <v>-0.031878528042087</v>
      </c>
      <c r="CU46" s="41">
        <v>5785.1850417435</v>
      </c>
      <c r="CV46" s="721">
        <f t="shared" si="132"/>
        <v>-0.309446505213642</v>
      </c>
      <c r="CW46" s="41">
        <f t="shared" si="133"/>
        <v>69471.5720234519</v>
      </c>
      <c r="CX46" s="721">
        <f t="shared" si="134"/>
        <v>-0.382236838341995</v>
      </c>
      <c r="CY46" s="721"/>
      <c r="CZ46" s="721">
        <f t="shared" si="135"/>
        <v>-0.286707799807607</v>
      </c>
      <c r="DA46" s="721">
        <f t="shared" si="136"/>
        <v>-0.0659563458664303</v>
      </c>
      <c r="DB46" s="721"/>
      <c r="DC46" s="721"/>
      <c r="DD46" s="721"/>
      <c r="DE46" s="721"/>
      <c r="DF46" s="721"/>
      <c r="DG46" s="721"/>
      <c r="DH46" s="721"/>
      <c r="DI46" s="721"/>
      <c r="DJ46" s="721"/>
      <c r="DK46" s="721"/>
      <c r="DL46" s="21"/>
      <c r="DM46" s="745">
        <v>11054.0750439086</v>
      </c>
      <c r="DN46" s="745">
        <v>8178.54277518148</v>
      </c>
      <c r="DO46" s="727">
        <v>11276.4967204074</v>
      </c>
      <c r="DP46" s="727">
        <v>9585.39041645447</v>
      </c>
      <c r="DQ46" s="727">
        <v>10705.8597857932</v>
      </c>
      <c r="DR46" s="727">
        <v>10369.8045839918</v>
      </c>
      <c r="DS46" s="727">
        <v>10451.7599015875</v>
      </c>
      <c r="DT46" s="727">
        <v>11019.9770276196</v>
      </c>
      <c r="DU46" s="727">
        <v>5956.39792245368</v>
      </c>
      <c r="DV46" s="727">
        <v>7234.96696681543</v>
      </c>
      <c r="DW46" s="727">
        <v>8245.76706588535</v>
      </c>
      <c r="DX46" s="727">
        <v>8377.60591383772</v>
      </c>
      <c r="DY46" s="728">
        <v>-0.43788523222599</v>
      </c>
      <c r="DZ46" s="727">
        <f t="shared" si="137"/>
        <v>112456.644123936</v>
      </c>
      <c r="EA46" s="729">
        <f t="shared" si="138"/>
        <v>-0.201238936906127</v>
      </c>
      <c r="EB46" s="741"/>
      <c r="EC46" s="737">
        <v>13324.8649189913</v>
      </c>
      <c r="ED46" s="737">
        <v>7063.99539468052</v>
      </c>
      <c r="EE46" s="737">
        <v>9386.1533247956</v>
      </c>
      <c r="EF46" s="737">
        <v>10928.4118447341</v>
      </c>
      <c r="EG46" s="737">
        <v>10802.1247318172</v>
      </c>
      <c r="EH46" s="737">
        <v>12396.1913067061</v>
      </c>
      <c r="EI46" s="737">
        <v>10982.6912223058</v>
      </c>
      <c r="EJ46" s="737">
        <v>11656.7926641281</v>
      </c>
      <c r="EK46" s="737">
        <v>12449.3957960585</v>
      </c>
      <c r="EL46" s="737">
        <v>12366.4206691758</v>
      </c>
      <c r="EM46" s="737">
        <v>14528.0703432689</v>
      </c>
      <c r="EN46" s="737">
        <v>14903.7285517569</v>
      </c>
      <c r="EO46" s="717">
        <f t="shared" si="139"/>
        <v>140788.840768419</v>
      </c>
      <c r="EP46" s="36"/>
      <c r="EQ46" s="740">
        <f>SUM(EC46:EN46)</f>
        <v>140788.840768419</v>
      </c>
    </row>
    <row r="47" s="206" customFormat="1" ht="27" customHeight="1" spans="1:147">
      <c r="A47" s="707" t="s">
        <v>99</v>
      </c>
      <c r="B47" s="707" t="s">
        <v>88</v>
      </c>
      <c r="C47" s="35">
        <v>1048.46864190797</v>
      </c>
      <c r="D47" s="36">
        <f t="shared" si="83"/>
        <v>0.243199224989446</v>
      </c>
      <c r="E47" s="35">
        <v>667.306083773405</v>
      </c>
      <c r="F47" s="36">
        <f t="shared" si="84"/>
        <v>-0.135351791718163</v>
      </c>
      <c r="G47" s="35">
        <v>1044.84496579746</v>
      </c>
      <c r="H47" s="36">
        <f t="shared" si="85"/>
        <v>-0.0142708224097531</v>
      </c>
      <c r="I47" s="35">
        <v>1125.10526129741</v>
      </c>
      <c r="J47" s="36">
        <f t="shared" si="86"/>
        <v>0.00840869167820379</v>
      </c>
      <c r="K47" s="35">
        <v>1162.93450461594</v>
      </c>
      <c r="L47" s="36">
        <f t="shared" si="87"/>
        <v>0.0282102106815911</v>
      </c>
      <c r="M47" s="35">
        <v>1064.73734730691</v>
      </c>
      <c r="N47" s="36">
        <f t="shared" si="88"/>
        <v>0.063556095583414</v>
      </c>
      <c r="O47" s="35">
        <v>1060.94652802068</v>
      </c>
      <c r="P47" s="36">
        <f t="shared" si="89"/>
        <v>0.00398566499059938</v>
      </c>
      <c r="Q47" s="127"/>
      <c r="R47" s="127"/>
      <c r="S47" s="35">
        <f t="shared" si="90"/>
        <v>7174.34333271977</v>
      </c>
      <c r="T47" s="36">
        <f t="shared" si="91"/>
        <v>-0.0992218650435975</v>
      </c>
      <c r="U47" s="36"/>
      <c r="V47" s="35">
        <v>843.363332950011</v>
      </c>
      <c r="W47" s="36">
        <f t="shared" si="92"/>
        <v>-0.0579293594454399</v>
      </c>
      <c r="X47" s="35">
        <v>771.765993824731</v>
      </c>
      <c r="Y47" s="36">
        <f t="shared" si="93"/>
        <v>0.637448017701736</v>
      </c>
      <c r="Z47" s="35">
        <v>1059.97163272749</v>
      </c>
      <c r="AA47" s="36">
        <f t="shared" si="94"/>
        <v>0.0961341592218452</v>
      </c>
      <c r="AB47" s="35">
        <v>1115.72348650129</v>
      </c>
      <c r="AC47" s="36">
        <f t="shared" si="95"/>
        <v>0.101326495233269</v>
      </c>
      <c r="AD47" s="35">
        <v>1131.02796736967</v>
      </c>
      <c r="AE47" s="36">
        <f t="shared" si="96"/>
        <v>0.07089617722235</v>
      </c>
      <c r="AF47" s="35">
        <v>1001.11066236036</v>
      </c>
      <c r="AG47" s="36">
        <f t="shared" si="97"/>
        <v>0.057923918566795</v>
      </c>
      <c r="AH47" s="35">
        <v>1056.73473737358</v>
      </c>
      <c r="AI47" s="36">
        <f t="shared" si="98"/>
        <v>0.0639202109449186</v>
      </c>
      <c r="AJ47" s="35">
        <v>984.908624711224</v>
      </c>
      <c r="AK47" s="36">
        <f t="shared" si="99"/>
        <v>0.0347663541497443</v>
      </c>
      <c r="AL47" s="35">
        <v>1025.38742977057</v>
      </c>
      <c r="AM47" s="36">
        <f t="shared" si="100"/>
        <v>0.0695513404242383</v>
      </c>
      <c r="AN47" s="35">
        <v>919.345897382316</v>
      </c>
      <c r="AO47" s="36">
        <f t="shared" si="101"/>
        <v>0.00720616572381494</v>
      </c>
      <c r="AP47" s="35">
        <v>976.138972386964</v>
      </c>
      <c r="AQ47" s="36">
        <f t="shared" si="102"/>
        <v>0.0238436146073766</v>
      </c>
      <c r="AR47" s="35">
        <v>1003.69468192331</v>
      </c>
      <c r="AS47" s="36">
        <f t="shared" si="103"/>
        <v>0.0114726975081538</v>
      </c>
      <c r="AT47" s="35">
        <f t="shared" si="104"/>
        <v>11889.1734192815</v>
      </c>
      <c r="AU47" s="36">
        <f t="shared" si="105"/>
        <v>0.0700043625442195</v>
      </c>
      <c r="AV47" s="36"/>
      <c r="AW47" s="35">
        <f t="shared" si="106"/>
        <v>10119.0215177818</v>
      </c>
      <c r="AX47" s="35">
        <v>895.223029616501</v>
      </c>
      <c r="AY47" s="36">
        <f t="shared" si="107"/>
        <v>0.599310716267033</v>
      </c>
      <c r="AZ47" s="35">
        <v>471.322439235631</v>
      </c>
      <c r="BA47" s="36">
        <f t="shared" si="108"/>
        <v>-0.390099887027813</v>
      </c>
      <c r="BB47" s="35">
        <v>967.009032434472</v>
      </c>
      <c r="BC47" s="36">
        <f t="shared" si="109"/>
        <v>0.0226000132597528</v>
      </c>
      <c r="BD47" s="35">
        <v>1013.07240979885</v>
      </c>
      <c r="BE47" s="36">
        <f t="shared" si="110"/>
        <v>0.110123426117371</v>
      </c>
      <c r="BF47" s="35">
        <v>1056.15090559319</v>
      </c>
      <c r="BG47" s="36">
        <f t="shared" si="111"/>
        <v>0.0950550692680432</v>
      </c>
      <c r="BH47" s="35">
        <v>946.297408339721</v>
      </c>
      <c r="BI47" s="36">
        <f t="shared" si="112"/>
        <v>-0.0299672588044277</v>
      </c>
      <c r="BJ47" s="35">
        <v>993.246228901924</v>
      </c>
      <c r="BK47" s="36">
        <f t="shared" si="113"/>
        <v>0.0108283592858107</v>
      </c>
      <c r="BL47" s="35">
        <v>951.817403766005</v>
      </c>
      <c r="BM47" s="36">
        <f t="shared" si="114"/>
        <v>0.0507729762960072</v>
      </c>
      <c r="BN47" s="35">
        <v>958.708003080852</v>
      </c>
      <c r="BO47" s="36">
        <f t="shared" si="115"/>
        <v>0.00302675441514033</v>
      </c>
      <c r="BP47" s="35">
        <v>912.76833747502</v>
      </c>
      <c r="BQ47" s="36">
        <f t="shared" si="116"/>
        <v>0.0619458270710116</v>
      </c>
      <c r="BR47" s="35">
        <v>953.406319539624</v>
      </c>
      <c r="BS47" s="36">
        <f t="shared" si="117"/>
        <v>0.0646443161826187</v>
      </c>
      <c r="BT47" s="35">
        <v>992.310207083191</v>
      </c>
      <c r="BU47" s="36">
        <f t="shared" si="118"/>
        <v>0.144613960422454</v>
      </c>
      <c r="BV47" s="35">
        <f t="shared" si="119"/>
        <v>11111.331724865</v>
      </c>
      <c r="BW47" s="36">
        <f t="shared" si="120"/>
        <v>0.0485369194795304</v>
      </c>
      <c r="BX47" s="36"/>
      <c r="BY47" s="50">
        <v>559.755537501837</v>
      </c>
      <c r="BZ47" s="721">
        <f t="shared" si="121"/>
        <v>-0.104970810254243</v>
      </c>
      <c r="CA47" s="50">
        <v>772.786279606943</v>
      </c>
      <c r="CB47" s="721">
        <f t="shared" si="122"/>
        <v>0.605743182490133</v>
      </c>
      <c r="CC47" s="41">
        <v>945.63760991155</v>
      </c>
      <c r="CD47" s="721">
        <f t="shared" si="123"/>
        <v>0.292559267063817</v>
      </c>
      <c r="CE47" s="41">
        <v>912.576373009302</v>
      </c>
      <c r="CF47" s="721">
        <f t="shared" si="124"/>
        <v>0.250280007740195</v>
      </c>
      <c r="CG47" s="41">
        <v>964.472870117064</v>
      </c>
      <c r="CH47" s="721">
        <f t="shared" si="125"/>
        <v>0.163887454480654</v>
      </c>
      <c r="CI47" s="702">
        <v>975.531410592804</v>
      </c>
      <c r="CJ47" s="721">
        <f t="shared" si="126"/>
        <v>0.247406889629495</v>
      </c>
      <c r="CK47" s="702">
        <v>982.606215761191</v>
      </c>
      <c r="CL47" s="721">
        <f t="shared" si="127"/>
        <v>0.182182146570423</v>
      </c>
      <c r="CM47" s="41">
        <v>905.825925521208</v>
      </c>
      <c r="CN47" s="721">
        <f t="shared" si="128"/>
        <v>0.333669927826791</v>
      </c>
      <c r="CO47" s="41">
        <v>955.814985852366</v>
      </c>
      <c r="CP47" s="721">
        <f t="shared" si="129"/>
        <v>0.11091112116658</v>
      </c>
      <c r="CQ47" s="41">
        <v>859.524388350917</v>
      </c>
      <c r="CR47" s="721">
        <f t="shared" si="130"/>
        <v>0.223028393277739</v>
      </c>
      <c r="CS47" s="41">
        <v>895.516281867874</v>
      </c>
      <c r="CT47" s="721">
        <f t="shared" si="131"/>
        <v>0.127276078550091</v>
      </c>
      <c r="CU47" s="41">
        <v>866.938759611974</v>
      </c>
      <c r="CV47" s="721">
        <f t="shared" si="132"/>
        <v>0.0913026876965881</v>
      </c>
      <c r="CW47" s="41">
        <f t="shared" si="133"/>
        <v>10596.986637705</v>
      </c>
      <c r="CX47" s="721">
        <f t="shared" si="134"/>
        <v>0.204746951086197</v>
      </c>
      <c r="CY47" s="721"/>
      <c r="CZ47" s="721">
        <f t="shared" si="135"/>
        <v>-0.0319117841121691</v>
      </c>
      <c r="DA47" s="721">
        <f t="shared" si="136"/>
        <v>0.0418741969451397</v>
      </c>
      <c r="DB47" s="721"/>
      <c r="DC47" s="721"/>
      <c r="DD47" s="721"/>
      <c r="DE47" s="721"/>
      <c r="DF47" s="721"/>
      <c r="DG47" s="721"/>
      <c r="DH47" s="721"/>
      <c r="DI47" s="721"/>
      <c r="DJ47" s="721"/>
      <c r="DK47" s="721"/>
      <c r="DL47" s="222"/>
      <c r="DM47" s="742">
        <v>625.404784463892</v>
      </c>
      <c r="DN47" s="742">
        <v>481.26393313315</v>
      </c>
      <c r="DO47" s="731">
        <v>731.60096717241</v>
      </c>
      <c r="DP47" s="731">
        <v>729.897596826113</v>
      </c>
      <c r="DQ47" s="731">
        <v>828.665062419998</v>
      </c>
      <c r="DR47" s="731">
        <v>782.047476812122</v>
      </c>
      <c r="DS47" s="731">
        <v>831.180050055558</v>
      </c>
      <c r="DT47" s="731">
        <v>679.197983415017</v>
      </c>
      <c r="DU47" s="731">
        <v>860.388349383571</v>
      </c>
      <c r="DV47" s="731">
        <v>702.783674586144</v>
      </c>
      <c r="DW47" s="731">
        <v>749.189818604787</v>
      </c>
      <c r="DX47" s="731">
        <v>794.407243183668</v>
      </c>
      <c r="DY47" s="732">
        <v>-0.0689510027209931</v>
      </c>
      <c r="DZ47" s="731">
        <f t="shared" si="137"/>
        <v>8796.02694005643</v>
      </c>
      <c r="EA47" s="733">
        <f t="shared" si="138"/>
        <v>-0.0944901203255648</v>
      </c>
      <c r="EB47" s="743"/>
      <c r="EC47" s="737">
        <v>866.563913864762</v>
      </c>
      <c r="ED47" s="737">
        <v>381.297858979952</v>
      </c>
      <c r="EE47" s="737">
        <v>706.501542546688</v>
      </c>
      <c r="EF47" s="737">
        <v>903.285727724345</v>
      </c>
      <c r="EG47" s="737">
        <v>958.992709744136</v>
      </c>
      <c r="EH47" s="737">
        <v>1044.13032330275</v>
      </c>
      <c r="EI47" s="737">
        <v>902.970847560428</v>
      </c>
      <c r="EJ47" s="737">
        <v>605.57545086679</v>
      </c>
      <c r="EK47" s="737">
        <v>844.248638140412</v>
      </c>
      <c r="EL47" s="737">
        <v>764.133281045363</v>
      </c>
      <c r="EM47" s="737">
        <v>882.954731813549</v>
      </c>
      <c r="EN47" s="737">
        <v>853.238922446966</v>
      </c>
      <c r="EO47" s="724">
        <f t="shared" si="139"/>
        <v>9713.89394803614</v>
      </c>
      <c r="EP47" s="36"/>
      <c r="EQ47" s="740">
        <f>SUM(EC47:EN47)</f>
        <v>9713.89394803614</v>
      </c>
    </row>
    <row r="48" ht="27" customHeight="1" spans="1:147">
      <c r="A48" s="45"/>
      <c r="B48" s="707" t="s">
        <v>89</v>
      </c>
      <c r="C48" s="35">
        <v>81.4962</v>
      </c>
      <c r="D48" s="36">
        <f t="shared" si="83"/>
        <v>-0.0760445151898561</v>
      </c>
      <c r="E48" s="35">
        <v>61.1436</v>
      </c>
      <c r="F48" s="36">
        <f t="shared" si="84"/>
        <v>-0.0853872515216472</v>
      </c>
      <c r="G48" s="35">
        <v>80.3358</v>
      </c>
      <c r="H48" s="36">
        <f t="shared" si="85"/>
        <v>-0.0215289500800209</v>
      </c>
      <c r="I48" s="35">
        <v>82.9171</v>
      </c>
      <c r="J48" s="36">
        <f t="shared" si="86"/>
        <v>-0.0050923009545063</v>
      </c>
      <c r="K48" s="35">
        <v>86.6882</v>
      </c>
      <c r="L48" s="36">
        <f t="shared" si="87"/>
        <v>-0.161493885423387</v>
      </c>
      <c r="M48" s="35">
        <v>81.6839</v>
      </c>
      <c r="N48" s="36">
        <f t="shared" si="88"/>
        <v>-0.0681842552560432</v>
      </c>
      <c r="O48" s="35">
        <v>77.6389</v>
      </c>
      <c r="P48" s="36">
        <f t="shared" si="89"/>
        <v>-0.113164507801613</v>
      </c>
      <c r="Q48" s="127"/>
      <c r="R48" s="127"/>
      <c r="S48" s="35">
        <f t="shared" si="90"/>
        <v>551.9037</v>
      </c>
      <c r="T48" s="36">
        <f t="shared" si="91"/>
        <v>-0.190489258616927</v>
      </c>
      <c r="U48" s="36"/>
      <c r="V48" s="35">
        <v>88.2036</v>
      </c>
      <c r="W48" s="36">
        <f t="shared" si="92"/>
        <v>-0.0370218331648373</v>
      </c>
      <c r="X48" s="35">
        <v>66.8519</v>
      </c>
      <c r="Y48" s="36">
        <f t="shared" si="93"/>
        <v>0.0797907995070415</v>
      </c>
      <c r="Z48" s="35">
        <v>82.1034</v>
      </c>
      <c r="AA48" s="36">
        <f t="shared" si="94"/>
        <v>-0.126428538748897</v>
      </c>
      <c r="AB48" s="35">
        <v>83.3415</v>
      </c>
      <c r="AC48" s="36">
        <f t="shared" si="95"/>
        <v>-0.13725601834359</v>
      </c>
      <c r="AD48" s="35">
        <v>103.3841</v>
      </c>
      <c r="AE48" s="36">
        <f t="shared" si="96"/>
        <v>0.107509188705097</v>
      </c>
      <c r="AF48" s="35">
        <v>87.661</v>
      </c>
      <c r="AG48" s="36">
        <f t="shared" si="97"/>
        <v>0.00929145462500292</v>
      </c>
      <c r="AH48" s="35">
        <v>87.546</v>
      </c>
      <c r="AI48" s="36">
        <f t="shared" si="98"/>
        <v>0.022899746570997</v>
      </c>
      <c r="AJ48" s="35">
        <v>82.6829</v>
      </c>
      <c r="AK48" s="36">
        <f t="shared" si="99"/>
        <v>-0.0871706041265772</v>
      </c>
      <c r="AL48" s="35">
        <v>80.5562</v>
      </c>
      <c r="AM48" s="36">
        <f t="shared" si="100"/>
        <v>-0.133343948290812</v>
      </c>
      <c r="AN48" s="35">
        <v>76.3913</v>
      </c>
      <c r="AO48" s="36">
        <f t="shared" si="101"/>
        <v>-0.165632143859653</v>
      </c>
      <c r="AP48" s="35">
        <v>80.6073</v>
      </c>
      <c r="AQ48" s="36">
        <f t="shared" si="102"/>
        <v>-0.153612727839734</v>
      </c>
      <c r="AR48" s="35">
        <v>86.5227</v>
      </c>
      <c r="AS48" s="36">
        <f t="shared" si="103"/>
        <v>-0.142575562382321</v>
      </c>
      <c r="AT48" s="35">
        <f t="shared" si="104"/>
        <v>1005.8519</v>
      </c>
      <c r="AU48" s="36">
        <f t="shared" si="105"/>
        <v>-0.0696148063653637</v>
      </c>
      <c r="AV48" s="36"/>
      <c r="AW48" s="35">
        <f t="shared" si="106"/>
        <v>980.2034</v>
      </c>
      <c r="AX48" s="35">
        <v>91.5946</v>
      </c>
      <c r="AY48" s="36">
        <f t="shared" si="107"/>
        <v>1.16530578473322</v>
      </c>
      <c r="AZ48" s="35">
        <v>61.9119</v>
      </c>
      <c r="BA48" s="36">
        <f t="shared" si="108"/>
        <v>0.275760672911678</v>
      </c>
      <c r="BB48" s="35">
        <v>93.9859</v>
      </c>
      <c r="BC48" s="36">
        <f t="shared" si="109"/>
        <v>0.688110684829152</v>
      </c>
      <c r="BD48" s="35">
        <v>96.6005</v>
      </c>
      <c r="BE48" s="36">
        <f t="shared" si="110"/>
        <v>0.696817517530177</v>
      </c>
      <c r="BF48" s="35">
        <v>93.3483</v>
      </c>
      <c r="BG48" s="36">
        <f t="shared" si="111"/>
        <v>0.553503226053397</v>
      </c>
      <c r="BH48" s="35">
        <v>86.854</v>
      </c>
      <c r="BI48" s="36">
        <f t="shared" si="112"/>
        <v>0.50256817470162</v>
      </c>
      <c r="BJ48" s="35">
        <v>85.5861</v>
      </c>
      <c r="BK48" s="36">
        <f t="shared" si="113"/>
        <v>0.452509974899403</v>
      </c>
      <c r="BL48" s="35">
        <v>90.5787</v>
      </c>
      <c r="BM48" s="36">
        <f t="shared" si="114"/>
        <v>0.420432377164865</v>
      </c>
      <c r="BN48" s="35">
        <v>92.9506</v>
      </c>
      <c r="BO48" s="36">
        <f t="shared" si="115"/>
        <v>0.581927846175316</v>
      </c>
      <c r="BP48" s="35">
        <v>91.5559</v>
      </c>
      <c r="BQ48" s="36">
        <f t="shared" si="116"/>
        <v>0.458256416790768</v>
      </c>
      <c r="BR48" s="35">
        <v>95.2369</v>
      </c>
      <c r="BS48" s="36">
        <f t="shared" si="117"/>
        <v>0.492432600151693</v>
      </c>
      <c r="BT48" s="35">
        <v>100.91</v>
      </c>
      <c r="BU48" s="36">
        <f t="shared" si="118"/>
        <v>0.683918585848809</v>
      </c>
      <c r="BV48" s="35">
        <f t="shared" si="119"/>
        <v>1081.1134</v>
      </c>
      <c r="BW48" s="36">
        <f t="shared" si="120"/>
        <v>0.568419664497851</v>
      </c>
      <c r="BX48" s="36"/>
      <c r="BY48" s="50">
        <v>42.301</v>
      </c>
      <c r="BZ48" s="721">
        <f t="shared" si="121"/>
        <v>0.420197211376082</v>
      </c>
      <c r="CA48" s="50">
        <v>48.5294</v>
      </c>
      <c r="CB48" s="721">
        <f t="shared" si="122"/>
        <v>1.35059286240167</v>
      </c>
      <c r="CC48" s="41">
        <v>55.6752</v>
      </c>
      <c r="CD48" s="721">
        <f t="shared" si="123"/>
        <v>1.31542962657983</v>
      </c>
      <c r="CE48" s="41">
        <v>56.9304</v>
      </c>
      <c r="CF48" s="721">
        <f t="shared" si="124"/>
        <v>1.16379012181448</v>
      </c>
      <c r="CG48" s="41">
        <v>60.0889</v>
      </c>
      <c r="CH48" s="721">
        <f t="shared" si="125"/>
        <v>1.20141341461628</v>
      </c>
      <c r="CI48" s="702">
        <v>57.8037</v>
      </c>
      <c r="CJ48" s="721">
        <f t="shared" si="126"/>
        <v>1.06593779709358</v>
      </c>
      <c r="CK48" s="702">
        <v>58.9229</v>
      </c>
      <c r="CL48" s="721">
        <f t="shared" si="127"/>
        <v>1.20559456788645</v>
      </c>
      <c r="CM48" s="41">
        <v>63.7684</v>
      </c>
      <c r="CN48" s="721">
        <f t="shared" si="128"/>
        <v>1.52382196259093</v>
      </c>
      <c r="CO48" s="41">
        <v>58.7578</v>
      </c>
      <c r="CP48" s="721">
        <f t="shared" si="129"/>
        <v>1.24532079941916</v>
      </c>
      <c r="CQ48" s="41">
        <v>62.7845</v>
      </c>
      <c r="CR48" s="721">
        <f t="shared" si="130"/>
        <v>1.4789650529674</v>
      </c>
      <c r="CS48" s="41">
        <v>63.8132</v>
      </c>
      <c r="CT48" s="721">
        <f t="shared" si="131"/>
        <v>1.21127517057603</v>
      </c>
      <c r="CU48" s="41">
        <v>59.9257</v>
      </c>
      <c r="CV48" s="721">
        <f t="shared" si="132"/>
        <v>1.07656429217447</v>
      </c>
      <c r="CW48" s="41">
        <f t="shared" si="133"/>
        <v>689.3011</v>
      </c>
      <c r="CX48" s="721">
        <f t="shared" si="134"/>
        <v>1.18139265226606</v>
      </c>
      <c r="CY48" s="721"/>
      <c r="CZ48" s="721">
        <f t="shared" si="135"/>
        <v>-0.0609199977434136</v>
      </c>
      <c r="DA48" s="721">
        <f t="shared" si="136"/>
        <v>0.0163846172224036</v>
      </c>
      <c r="DB48" s="721"/>
      <c r="DC48" s="721"/>
      <c r="DD48" s="721"/>
      <c r="DE48" s="721"/>
      <c r="DF48" s="721"/>
      <c r="DG48" s="721"/>
      <c r="DH48" s="721"/>
      <c r="DI48" s="721"/>
      <c r="DJ48" s="721"/>
      <c r="DK48" s="721"/>
      <c r="DL48" s="735" t="s">
        <v>99</v>
      </c>
      <c r="DM48" s="742">
        <v>29.7853</v>
      </c>
      <c r="DN48" s="742">
        <v>20.6456</v>
      </c>
      <c r="DO48" s="731">
        <v>24.0453</v>
      </c>
      <c r="DP48" s="731">
        <v>26.3105</v>
      </c>
      <c r="DQ48" s="731">
        <v>27.2956</v>
      </c>
      <c r="DR48" s="731">
        <v>27.9794</v>
      </c>
      <c r="DS48" s="731">
        <v>26.7152</v>
      </c>
      <c r="DT48" s="731">
        <v>25.2666</v>
      </c>
      <c r="DU48" s="731">
        <v>26.169</v>
      </c>
      <c r="DV48" s="731">
        <v>25.3269</v>
      </c>
      <c r="DW48" s="731">
        <v>27.5938</v>
      </c>
      <c r="DX48" s="731">
        <v>28.8581</v>
      </c>
      <c r="DY48" s="732">
        <v>0.80662347012239</v>
      </c>
      <c r="DZ48" s="731">
        <f t="shared" si="137"/>
        <v>315.9913</v>
      </c>
      <c r="EA48" s="733">
        <f t="shared" si="138"/>
        <v>0.852806316601719</v>
      </c>
      <c r="EB48" s="733"/>
      <c r="EC48" s="737">
        <v>18.8902</v>
      </c>
      <c r="ED48" s="737">
        <v>10.2183</v>
      </c>
      <c r="EE48" s="737">
        <v>13.1202</v>
      </c>
      <c r="EF48" s="737">
        <v>15.2223</v>
      </c>
      <c r="EG48" s="737">
        <v>14.0881</v>
      </c>
      <c r="EH48" s="737">
        <v>14.3922</v>
      </c>
      <c r="EI48" s="737">
        <v>15.823</v>
      </c>
      <c r="EJ48" s="737">
        <v>8.0435</v>
      </c>
      <c r="EK48" s="737">
        <v>13.6418</v>
      </c>
      <c r="EL48" s="737">
        <v>15.0801</v>
      </c>
      <c r="EM48" s="737">
        <v>16.0542</v>
      </c>
      <c r="EN48" s="737">
        <v>15.9735</v>
      </c>
      <c r="EO48" s="717">
        <f t="shared" si="139"/>
        <v>170.5474</v>
      </c>
      <c r="EP48" s="36"/>
      <c r="EQ48" s="740">
        <f>SUM(EC48:EN48)</f>
        <v>170.5474</v>
      </c>
    </row>
    <row r="49" s="206" customFormat="1" ht="27" customHeight="1" spans="1:147">
      <c r="A49" s="45"/>
      <c r="B49" s="707" t="s">
        <v>90</v>
      </c>
      <c r="C49" s="35">
        <v>966.97244190797</v>
      </c>
      <c r="D49" s="36">
        <f t="shared" si="83"/>
        <v>0.280487292576524</v>
      </c>
      <c r="E49" s="35">
        <v>606.162483773405</v>
      </c>
      <c r="F49" s="36">
        <f t="shared" si="84"/>
        <v>-0.140090276129277</v>
      </c>
      <c r="G49" s="35">
        <v>964.50916579746</v>
      </c>
      <c r="H49" s="36">
        <f t="shared" si="85"/>
        <v>-0.0136614182595632</v>
      </c>
      <c r="I49" s="35">
        <v>1042.18816129741</v>
      </c>
      <c r="J49" s="36">
        <f t="shared" si="86"/>
        <v>0.00949859153330723</v>
      </c>
      <c r="K49" s="35">
        <v>1076.24630461594</v>
      </c>
      <c r="L49" s="36">
        <f t="shared" si="87"/>
        <v>0.047295019986517</v>
      </c>
      <c r="M49" s="35">
        <v>983.05344730691</v>
      </c>
      <c r="N49" s="36">
        <f t="shared" si="88"/>
        <v>0.0761988184074569</v>
      </c>
      <c r="O49" s="35">
        <v>983.30762802068</v>
      </c>
      <c r="P49" s="36">
        <f t="shared" si="89"/>
        <v>0.0145677411454048</v>
      </c>
      <c r="Q49" s="127"/>
      <c r="R49" s="127"/>
      <c r="S49" s="35">
        <f t="shared" si="90"/>
        <v>6622.43963271977</v>
      </c>
      <c r="T49" s="36">
        <f t="shared" si="91"/>
        <v>-0.0906779672618138</v>
      </c>
      <c r="U49" s="36"/>
      <c r="V49" s="35">
        <v>755.159732950011</v>
      </c>
      <c r="W49" s="36">
        <f t="shared" si="92"/>
        <v>-0.0603123220635932</v>
      </c>
      <c r="X49" s="35">
        <v>704.914093824731</v>
      </c>
      <c r="Y49" s="36">
        <f t="shared" si="93"/>
        <v>0.721778084024913</v>
      </c>
      <c r="Z49" s="35">
        <v>977.86823272749</v>
      </c>
      <c r="AA49" s="36">
        <f t="shared" si="94"/>
        <v>0.120094298075071</v>
      </c>
      <c r="AB49" s="35">
        <v>1032.38198650129</v>
      </c>
      <c r="AC49" s="36">
        <f t="shared" si="95"/>
        <v>0.126474227374716</v>
      </c>
      <c r="AD49" s="35">
        <v>1027.64386736967</v>
      </c>
      <c r="AE49" s="36">
        <f t="shared" si="96"/>
        <v>0.0673463713120417</v>
      </c>
      <c r="AF49" s="35">
        <v>913.44966236036</v>
      </c>
      <c r="AG49" s="36">
        <f t="shared" si="97"/>
        <v>0.0628386389337359</v>
      </c>
      <c r="AH49" s="35">
        <v>969.18873737358</v>
      </c>
      <c r="AI49" s="36">
        <f t="shared" si="98"/>
        <v>0.067788158268109</v>
      </c>
      <c r="AJ49" s="35">
        <v>902.225724711224</v>
      </c>
      <c r="AK49" s="36">
        <f t="shared" si="99"/>
        <v>0.0475907791486749</v>
      </c>
      <c r="AL49" s="35">
        <v>944.83122977057</v>
      </c>
      <c r="AM49" s="36">
        <f t="shared" si="100"/>
        <v>0.0913348547853345</v>
      </c>
      <c r="AN49" s="35">
        <v>842.954597382316</v>
      </c>
      <c r="AO49" s="36">
        <f t="shared" si="101"/>
        <v>0.0264756826798027</v>
      </c>
      <c r="AP49" s="35">
        <v>895.531672386964</v>
      </c>
      <c r="AQ49" s="36">
        <f t="shared" si="102"/>
        <v>0.0435371524510668</v>
      </c>
      <c r="AR49" s="35">
        <v>917.17198192331</v>
      </c>
      <c r="AS49" s="36">
        <f t="shared" si="103"/>
        <v>0.028911564789118</v>
      </c>
      <c r="AT49" s="35">
        <f t="shared" si="104"/>
        <v>10883.3215192815</v>
      </c>
      <c r="AU49" s="36">
        <f t="shared" si="105"/>
        <v>0.0850533026087466</v>
      </c>
      <c r="AV49" s="36"/>
      <c r="AW49" s="35">
        <f t="shared" si="106"/>
        <v>9138.81811778179</v>
      </c>
      <c r="AX49" s="35">
        <v>803.628429616501</v>
      </c>
      <c r="AY49" s="36">
        <f t="shared" si="107"/>
        <v>0.553041613078227</v>
      </c>
      <c r="AZ49" s="35">
        <v>409.410539235631</v>
      </c>
      <c r="BA49" s="36">
        <f t="shared" si="108"/>
        <v>-0.434716395848639</v>
      </c>
      <c r="BB49" s="35">
        <v>873.023132434472</v>
      </c>
      <c r="BC49" s="36">
        <f t="shared" si="109"/>
        <v>-0.0190336999500479</v>
      </c>
      <c r="BD49" s="35">
        <v>916.47190979885</v>
      </c>
      <c r="BE49" s="36">
        <f t="shared" si="110"/>
        <v>0.071087738046173</v>
      </c>
      <c r="BF49" s="35">
        <v>962.80260559319</v>
      </c>
      <c r="BG49" s="36">
        <f t="shared" si="111"/>
        <v>0.0645949479495576</v>
      </c>
      <c r="BH49" s="35">
        <v>859.443408339721</v>
      </c>
      <c r="BI49" s="36">
        <f t="shared" si="112"/>
        <v>-0.0635093629410345</v>
      </c>
      <c r="BJ49" s="35">
        <v>907.660128901924</v>
      </c>
      <c r="BK49" s="36">
        <f t="shared" si="113"/>
        <v>-0.0173470567085674</v>
      </c>
      <c r="BL49" s="35">
        <v>861.238703766005</v>
      </c>
      <c r="BM49" s="36">
        <f t="shared" si="114"/>
        <v>0.0227789404683776</v>
      </c>
      <c r="BN49" s="35">
        <v>865.757403080852</v>
      </c>
      <c r="BO49" s="36">
        <f t="shared" si="115"/>
        <v>-0.034891624820745</v>
      </c>
      <c r="BP49" s="35">
        <v>821.21243747502</v>
      </c>
      <c r="BQ49" s="36">
        <f t="shared" si="116"/>
        <v>0.0307158578124613</v>
      </c>
      <c r="BR49" s="35">
        <v>858.169419539624</v>
      </c>
      <c r="BS49" s="36">
        <f t="shared" si="117"/>
        <v>0.031821858363577</v>
      </c>
      <c r="BT49" s="35">
        <v>891.400207083191</v>
      </c>
      <c r="BU49" s="36">
        <f t="shared" si="118"/>
        <v>0.104567263771161</v>
      </c>
      <c r="BV49" s="35">
        <f t="shared" si="119"/>
        <v>10030.218324865</v>
      </c>
      <c r="BW49" s="36">
        <f t="shared" si="120"/>
        <v>0.0123674481485745</v>
      </c>
      <c r="BX49" s="36"/>
      <c r="BY49" s="50">
        <v>517.454537501837</v>
      </c>
      <c r="BZ49" s="721">
        <f t="shared" si="121"/>
        <v>-0.131233025448135</v>
      </c>
      <c r="CA49" s="50">
        <v>724.256879606943</v>
      </c>
      <c r="CB49" s="721">
        <f t="shared" si="122"/>
        <v>0.572357910030436</v>
      </c>
      <c r="CC49" s="41">
        <v>889.96240991155</v>
      </c>
      <c r="CD49" s="721">
        <f t="shared" si="123"/>
        <v>0.257798433680968</v>
      </c>
      <c r="CE49" s="41">
        <v>855.645973009302</v>
      </c>
      <c r="CF49" s="721">
        <f t="shared" si="124"/>
        <v>0.216119478127339</v>
      </c>
      <c r="CG49" s="41">
        <v>904.383970117064</v>
      </c>
      <c r="CH49" s="721">
        <f t="shared" si="125"/>
        <v>0.128548082411301</v>
      </c>
      <c r="CI49" s="702">
        <v>917.727710592804</v>
      </c>
      <c r="CJ49" s="721">
        <f t="shared" si="126"/>
        <v>0.217035621601388</v>
      </c>
      <c r="CK49" s="702">
        <v>923.683315761191</v>
      </c>
      <c r="CL49" s="721">
        <f t="shared" si="127"/>
        <v>0.148195991033542</v>
      </c>
      <c r="CM49" s="41">
        <v>842.057525521208</v>
      </c>
      <c r="CN49" s="721">
        <f t="shared" si="128"/>
        <v>0.28768483494972</v>
      </c>
      <c r="CO49" s="41">
        <v>897.057185852366</v>
      </c>
      <c r="CP49" s="721">
        <f t="shared" si="129"/>
        <v>0.0753253164353329</v>
      </c>
      <c r="CQ49" s="41">
        <v>796.739888350917</v>
      </c>
      <c r="CR49" s="721">
        <f t="shared" si="130"/>
        <v>0.176074870367401</v>
      </c>
      <c r="CS49" s="41">
        <v>831.703081867874</v>
      </c>
      <c r="CT49" s="721">
        <f t="shared" si="131"/>
        <v>0.0864137061261585</v>
      </c>
      <c r="CU49" s="41">
        <v>807.013059611974</v>
      </c>
      <c r="CV49" s="721">
        <f t="shared" si="132"/>
        <v>0.0541623183795505</v>
      </c>
      <c r="CW49" s="41">
        <f t="shared" si="133"/>
        <v>9907.68553770503</v>
      </c>
      <c r="CX49" s="721">
        <f t="shared" si="134"/>
        <v>0.168354233195074</v>
      </c>
      <c r="CY49" s="721"/>
      <c r="CZ49" s="721">
        <f t="shared" si="135"/>
        <v>-0.0296861016800011</v>
      </c>
      <c r="DA49" s="721">
        <f t="shared" si="136"/>
        <v>0.0438828205141371</v>
      </c>
      <c r="DB49" s="721"/>
      <c r="DC49" s="721"/>
      <c r="DD49" s="721"/>
      <c r="DE49" s="721"/>
      <c r="DF49" s="721"/>
      <c r="DG49" s="721"/>
      <c r="DH49" s="721"/>
      <c r="DI49" s="721"/>
      <c r="DJ49" s="721"/>
      <c r="DK49" s="721"/>
      <c r="DL49" s="206"/>
      <c r="DM49" s="742">
        <v>595.619484463892</v>
      </c>
      <c r="DN49" s="742">
        <v>460.61833313315</v>
      </c>
      <c r="DO49" s="731">
        <v>707.55566717241</v>
      </c>
      <c r="DP49" s="731">
        <v>703.587096826113</v>
      </c>
      <c r="DQ49" s="731">
        <v>801.369462419998</v>
      </c>
      <c r="DR49" s="731">
        <v>754.068076812122</v>
      </c>
      <c r="DS49" s="731">
        <v>804.464850055558</v>
      </c>
      <c r="DT49" s="731">
        <v>653.931383415017</v>
      </c>
      <c r="DU49" s="731">
        <v>834.219349383571</v>
      </c>
      <c r="DV49" s="731">
        <v>677.456774586144</v>
      </c>
      <c r="DW49" s="731">
        <v>721.596018604787</v>
      </c>
      <c r="DX49" s="731">
        <v>765.549143183668</v>
      </c>
      <c r="DY49" s="732">
        <v>-0.0856553696600801</v>
      </c>
      <c r="DZ49" s="731">
        <f t="shared" si="137"/>
        <v>8480.03564005643</v>
      </c>
      <c r="EA49" s="733">
        <f t="shared" si="138"/>
        <v>-0.11141908162169</v>
      </c>
      <c r="EB49" s="733"/>
      <c r="EC49" s="737">
        <v>847.673713864762</v>
      </c>
      <c r="ED49" s="737">
        <v>371.079558979952</v>
      </c>
      <c r="EE49" s="737">
        <v>693.381342546688</v>
      </c>
      <c r="EF49" s="737">
        <v>888.063427724345</v>
      </c>
      <c r="EG49" s="737">
        <v>944.904609744136</v>
      </c>
      <c r="EH49" s="737">
        <v>1029.73812330275</v>
      </c>
      <c r="EI49" s="737">
        <v>887.147847560428</v>
      </c>
      <c r="EJ49" s="737">
        <v>597.53195086679</v>
      </c>
      <c r="EK49" s="737">
        <v>830.606838140412</v>
      </c>
      <c r="EL49" s="737">
        <v>749.053181045363</v>
      </c>
      <c r="EM49" s="737">
        <v>866.900531813549</v>
      </c>
      <c r="EN49" s="737">
        <v>837.265422446966</v>
      </c>
      <c r="EO49" s="724">
        <f t="shared" si="139"/>
        <v>9543.34654803614</v>
      </c>
      <c r="EP49" s="36"/>
      <c r="EQ49" s="740">
        <f>SUM(EC49:EN49)</f>
        <v>9543.34654803614</v>
      </c>
    </row>
    <row r="50" ht="27" customHeight="1" spans="1:147">
      <c r="A50" s="45"/>
      <c r="B50" s="707" t="s">
        <v>91</v>
      </c>
      <c r="C50" s="35">
        <f>C51+C52</f>
        <v>128146.106644487</v>
      </c>
      <c r="D50" s="36">
        <f t="shared" si="83"/>
        <v>0.182762778370005</v>
      </c>
      <c r="E50" s="35">
        <f>E51+E52</f>
        <v>87616.1072426835</v>
      </c>
      <c r="F50" s="36">
        <f t="shared" si="84"/>
        <v>-0.144473353545355</v>
      </c>
      <c r="G50" s="35">
        <f>G51+G52</f>
        <v>134668.99471709</v>
      </c>
      <c r="H50" s="36">
        <f t="shared" si="85"/>
        <v>-0.024556936854683</v>
      </c>
      <c r="I50" s="35">
        <f>I51+I52</f>
        <v>139784.653534266</v>
      </c>
      <c r="J50" s="36">
        <f t="shared" si="86"/>
        <v>0.000174241264541353</v>
      </c>
      <c r="K50" s="35">
        <f>K51+K52</f>
        <v>146992.942877699</v>
      </c>
      <c r="L50" s="36">
        <f t="shared" si="87"/>
        <v>-0.0119376366141563</v>
      </c>
      <c r="M50" s="35">
        <f>M51+M52</f>
        <v>128084.722381814</v>
      </c>
      <c r="N50" s="36">
        <f t="shared" si="88"/>
        <v>0.0154966241526324</v>
      </c>
      <c r="O50" s="35">
        <f>O51+O52</f>
        <v>130534.34935039</v>
      </c>
      <c r="P50" s="36">
        <f t="shared" si="89"/>
        <v>-0.0077186082754328</v>
      </c>
      <c r="Q50" s="127"/>
      <c r="R50" s="127"/>
      <c r="S50" s="35">
        <f t="shared" si="90"/>
        <v>895827.876748429</v>
      </c>
      <c r="T50" s="36">
        <f t="shared" si="91"/>
        <v>-0.121216351974338</v>
      </c>
      <c r="U50" s="36"/>
      <c r="V50" s="35">
        <f>V51+V52</f>
        <v>108344.723885451</v>
      </c>
      <c r="W50" s="36">
        <f t="shared" si="92"/>
        <v>-0.0399712246394677</v>
      </c>
      <c r="X50" s="35">
        <f>X51+X52</f>
        <v>102411.897520399</v>
      </c>
      <c r="Y50" s="36">
        <f t="shared" si="93"/>
        <v>0.555560499259697</v>
      </c>
      <c r="Z50" s="35">
        <f>Z51+Z52</f>
        <v>138059.308436568</v>
      </c>
      <c r="AA50" s="36">
        <f t="shared" si="94"/>
        <v>0.113543742172608</v>
      </c>
      <c r="AB50" s="35">
        <f>AB51+AB52</f>
        <v>139760.301522596</v>
      </c>
      <c r="AC50" s="36">
        <f t="shared" si="95"/>
        <v>0.0825304309780679</v>
      </c>
      <c r="AD50" s="35">
        <f>AD51+AD52</f>
        <v>148768.891848072</v>
      </c>
      <c r="AE50" s="36">
        <f t="shared" si="96"/>
        <v>0.0927817308886441</v>
      </c>
      <c r="AF50" s="35">
        <f>AF51+AF52</f>
        <v>126130.131145136</v>
      </c>
      <c r="AG50" s="36">
        <f t="shared" si="97"/>
        <v>0.0990525831088671</v>
      </c>
      <c r="AH50" s="35">
        <f>AH51+AH52</f>
        <v>131549.730186438</v>
      </c>
      <c r="AI50" s="36">
        <f t="shared" si="98"/>
        <v>0.0730275025601161</v>
      </c>
      <c r="AJ50" s="35">
        <f>AJ51+AJ52</f>
        <v>124370.265652656</v>
      </c>
      <c r="AK50" s="36">
        <f t="shared" si="99"/>
        <v>0.0501979241098496</v>
      </c>
      <c r="AL50" s="35">
        <f>AL51+AL52</f>
        <v>128140.597081741</v>
      </c>
      <c r="AM50" s="36">
        <f t="shared" si="100"/>
        <v>0.065599053619986</v>
      </c>
      <c r="AN50" s="35">
        <f>AN51+AN52</f>
        <v>116538.813792465</v>
      </c>
      <c r="AO50" s="36">
        <f t="shared" si="101"/>
        <v>-0.0155416940343555</v>
      </c>
      <c r="AP50" s="35">
        <f>AP51+AP52</f>
        <v>123473.066201331</v>
      </c>
      <c r="AQ50" s="36">
        <f t="shared" si="102"/>
        <v>-0.0180178571773023</v>
      </c>
      <c r="AR50" s="35">
        <f>AR51+AR52</f>
        <v>129596.712371544</v>
      </c>
      <c r="AS50" s="36">
        <f t="shared" si="103"/>
        <v>-0.0425066104278528</v>
      </c>
      <c r="AT50" s="35">
        <f t="shared" si="104"/>
        <v>1517144.4396444</v>
      </c>
      <c r="AU50" s="36">
        <f t="shared" si="105"/>
        <v>0.0658438303119027</v>
      </c>
      <c r="AV50" s="36"/>
      <c r="AW50" s="35">
        <f t="shared" si="106"/>
        <v>1288070.97071936</v>
      </c>
      <c r="AX50" s="35">
        <f>AX51+AX52</f>
        <v>112855.704606107</v>
      </c>
      <c r="AY50" s="36">
        <f t="shared" si="107"/>
        <v>0.386962416790937</v>
      </c>
      <c r="AZ50" s="35">
        <f>AZ51+AZ52</f>
        <v>65836.0106014117</v>
      </c>
      <c r="BA50" s="36">
        <f t="shared" si="108"/>
        <v>-0.359525555764953</v>
      </c>
      <c r="BB50" s="35">
        <f>BB51+BB52</f>
        <v>123981.93551625</v>
      </c>
      <c r="BC50" s="36">
        <f t="shared" si="109"/>
        <v>0.0203047116576229</v>
      </c>
      <c r="BD50" s="35">
        <f>BD51+BD52</f>
        <v>129105.194203476</v>
      </c>
      <c r="BE50" s="36">
        <f t="shared" si="110"/>
        <v>0.0933062860835014</v>
      </c>
      <c r="BF50" s="35">
        <f>BF51+BF52</f>
        <v>136137.79187825</v>
      </c>
      <c r="BG50" s="36">
        <f t="shared" si="111"/>
        <v>0.0952291691136911</v>
      </c>
      <c r="BH50" s="35">
        <f>BH51+BH52</f>
        <v>114762.599245574</v>
      </c>
      <c r="BI50" s="36">
        <f t="shared" si="112"/>
        <v>-0.020846960413988</v>
      </c>
      <c r="BJ50" s="35">
        <f>BJ51+BJ52</f>
        <v>122596.792600913</v>
      </c>
      <c r="BK50" s="36">
        <f t="shared" si="113"/>
        <v>0.0203095637948862</v>
      </c>
      <c r="BL50" s="35">
        <f>BL51+BL52</f>
        <v>118425.548934572</v>
      </c>
      <c r="BM50" s="36">
        <f t="shared" si="114"/>
        <v>0.0617667526541272</v>
      </c>
      <c r="BN50" s="35">
        <f>BN51+BN52</f>
        <v>120252.16862424</v>
      </c>
      <c r="BO50" s="36">
        <f t="shared" si="115"/>
        <v>0.00612243227999354</v>
      </c>
      <c r="BP50" s="35">
        <f>BP51+BP52</f>
        <v>118378.618054477</v>
      </c>
      <c r="BQ50" s="36">
        <f t="shared" si="116"/>
        <v>0.0629871156891935</v>
      </c>
      <c r="BR50" s="35">
        <f>BR51+BR52</f>
        <v>125738.606454094</v>
      </c>
      <c r="BS50" s="36">
        <f t="shared" si="117"/>
        <v>0.0430420105433966</v>
      </c>
      <c r="BT50" s="35">
        <f>BT51+BT52</f>
        <v>135349.981297995</v>
      </c>
      <c r="BU50" s="36">
        <f t="shared" si="118"/>
        <v>0.119401324631387</v>
      </c>
      <c r="BV50" s="35">
        <f t="shared" si="119"/>
        <v>1423420.95201736</v>
      </c>
      <c r="BW50" s="36">
        <f t="shared" si="120"/>
        <v>0.0395170627691435</v>
      </c>
      <c r="BX50" s="36"/>
      <c r="BY50" s="41">
        <f>BY51+BY52</f>
        <v>81368.970953968</v>
      </c>
      <c r="BZ50" s="721">
        <f t="shared" si="121"/>
        <v>-0.0811983956452692</v>
      </c>
      <c r="CA50" s="41">
        <f>CA51+CA52</f>
        <v>102792.564471551</v>
      </c>
      <c r="CB50" s="721">
        <f t="shared" si="122"/>
        <v>0.60461070233996</v>
      </c>
      <c r="CC50" s="41">
        <f>SUM(CC51:CC52)</f>
        <v>121514.616270687</v>
      </c>
      <c r="CD50" s="721">
        <f t="shared" si="123"/>
        <v>0.344768691758899</v>
      </c>
      <c r="CE50" s="41">
        <v>118086.94036322</v>
      </c>
      <c r="CF50" s="721">
        <f t="shared" si="124"/>
        <v>0.280348023800315</v>
      </c>
      <c r="CG50" s="41">
        <v>124300.736062772</v>
      </c>
      <c r="CH50" s="721">
        <f t="shared" si="125"/>
        <v>0.249064840469847</v>
      </c>
      <c r="CI50" s="41">
        <f>CI51+CI52</f>
        <v>117205.987834236</v>
      </c>
      <c r="CJ50" s="721">
        <f t="shared" si="126"/>
        <v>0.280492182224955</v>
      </c>
      <c r="CK50" s="41">
        <f>CK51+CK52</f>
        <v>120156.467165644</v>
      </c>
      <c r="CL50" s="721">
        <f t="shared" si="127"/>
        <v>0.206163032575877</v>
      </c>
      <c r="CM50" s="41">
        <v>111536.313073036</v>
      </c>
      <c r="CN50" s="721">
        <f t="shared" si="128"/>
        <v>0.352656940382139</v>
      </c>
      <c r="CO50" s="41">
        <f>SUM(CO51:CO52)</f>
        <v>119520.412989634</v>
      </c>
      <c r="CP50" s="721">
        <f t="shared" si="129"/>
        <v>0.133767617611198</v>
      </c>
      <c r="CQ50" s="41">
        <f>SUM(CQ51:CQ52)</f>
        <v>111364.113738788</v>
      </c>
      <c r="CR50" s="721">
        <f t="shared" si="130"/>
        <v>0.149446546962946</v>
      </c>
      <c r="CS50" s="41">
        <f>CS51+CS52</f>
        <v>120549.89653637</v>
      </c>
      <c r="CT50" s="721">
        <f t="shared" si="131"/>
        <v>0.0837059586447284</v>
      </c>
      <c r="CU50" s="41">
        <f>CU51+CU52</f>
        <v>120912.829313084</v>
      </c>
      <c r="CV50" s="721">
        <f t="shared" si="132"/>
        <v>0.086968611073416</v>
      </c>
      <c r="CW50" s="41">
        <f t="shared" si="133"/>
        <v>1369309.84877299</v>
      </c>
      <c r="CX50" s="721">
        <f t="shared" si="134"/>
        <v>0.212355950340235</v>
      </c>
      <c r="CY50" s="721"/>
      <c r="CZ50" s="721">
        <f t="shared" si="135"/>
        <v>0.00301064361846648</v>
      </c>
      <c r="DA50" s="721">
        <f t="shared" si="136"/>
        <v>0.0824842266434975</v>
      </c>
      <c r="DB50" s="721"/>
      <c r="DC50" s="721"/>
      <c r="DD50" s="721"/>
      <c r="DE50" s="721"/>
      <c r="DF50" s="721"/>
      <c r="DG50" s="721"/>
      <c r="DH50" s="721"/>
      <c r="DI50" s="721"/>
      <c r="DJ50" s="721"/>
      <c r="DK50" s="721"/>
      <c r="DM50" s="41">
        <v>88559.8921119788</v>
      </c>
      <c r="DN50" s="41">
        <v>64060.749639555</v>
      </c>
      <c r="DO50" s="41">
        <v>90360.9795612888</v>
      </c>
      <c r="DP50" s="41">
        <v>92230.3453187014</v>
      </c>
      <c r="DQ50" s="41">
        <v>99515.0387997593</v>
      </c>
      <c r="DR50" s="41">
        <v>91531.9823589879</v>
      </c>
      <c r="DS50" s="41">
        <v>99618.7612457649</v>
      </c>
      <c r="DT50" s="41">
        <v>82457.2068077556</v>
      </c>
      <c r="DU50" s="41">
        <v>105418.792293132</v>
      </c>
      <c r="DV50" s="41">
        <v>96884.9869818066</v>
      </c>
      <c r="DW50" s="41">
        <v>107584.593871398</v>
      </c>
      <c r="DX50" s="41">
        <v>111238.565751847</v>
      </c>
      <c r="DY50" s="721">
        <v>0.0235376744785947</v>
      </c>
      <c r="DZ50" s="41">
        <f t="shared" si="137"/>
        <v>1129461.89474198</v>
      </c>
      <c r="EA50" s="36">
        <f t="shared" si="138"/>
        <v>-0.0304457862841854</v>
      </c>
      <c r="EB50" s="36"/>
      <c r="EC50" s="737">
        <f t="shared" ref="EC50:EN50" si="142">EC51+EC52</f>
        <v>107416.99875111</v>
      </c>
      <c r="ED50" s="737">
        <f t="shared" si="142"/>
        <v>56878.4517194439</v>
      </c>
      <c r="EE50" s="737">
        <f t="shared" si="142"/>
        <v>86189.6997282345</v>
      </c>
      <c r="EF50" s="737">
        <f t="shared" si="142"/>
        <v>100384.662810747</v>
      </c>
      <c r="EG50" s="737">
        <f t="shared" si="142"/>
        <v>104601.799374368</v>
      </c>
      <c r="EH50" s="737">
        <f t="shared" si="142"/>
        <v>105554.058432836</v>
      </c>
      <c r="EI50" s="737">
        <f t="shared" si="142"/>
        <v>99951.7696009891</v>
      </c>
      <c r="EJ50" s="737">
        <f t="shared" si="142"/>
        <v>79455.2064694957</v>
      </c>
      <c r="EK50" s="737">
        <f t="shared" si="142"/>
        <v>106336.446784057</v>
      </c>
      <c r="EL50" s="737">
        <f t="shared" si="142"/>
        <v>94204.9651439722</v>
      </c>
      <c r="EM50" s="50">
        <f t="shared" si="142"/>
        <v>115274.537632605</v>
      </c>
      <c r="EN50" s="50">
        <f t="shared" si="142"/>
        <v>108680.479991627</v>
      </c>
      <c r="EO50" s="724">
        <f t="shared" si="139"/>
        <v>1164929.07643949</v>
      </c>
      <c r="EP50" s="36"/>
      <c r="EQ50" s="738"/>
    </row>
    <row r="51" ht="27" customHeight="1" spans="1:147">
      <c r="A51" s="45"/>
      <c r="B51" s="707" t="s">
        <v>92</v>
      </c>
      <c r="C51" s="35">
        <v>23366.6271</v>
      </c>
      <c r="D51" s="36">
        <f t="shared" si="83"/>
        <v>-0.0445512925043049</v>
      </c>
      <c r="E51" s="35">
        <v>17066.172</v>
      </c>
      <c r="F51" s="36">
        <f t="shared" si="84"/>
        <v>-0.124011326163781</v>
      </c>
      <c r="G51" s="35">
        <v>20978.348</v>
      </c>
      <c r="H51" s="36">
        <f t="shared" si="85"/>
        <v>-0.101351690197364</v>
      </c>
      <c r="I51" s="35">
        <v>20966.3277</v>
      </c>
      <c r="J51" s="36">
        <f t="shared" si="86"/>
        <v>-0.115167934774606</v>
      </c>
      <c r="K51" s="35">
        <v>24910.3051</v>
      </c>
      <c r="L51" s="36">
        <f t="shared" si="87"/>
        <v>-0.290749141670341</v>
      </c>
      <c r="M51" s="35">
        <v>23589.9683</v>
      </c>
      <c r="N51" s="36">
        <f t="shared" si="88"/>
        <v>-0.145149432935799</v>
      </c>
      <c r="O51" s="35">
        <v>23761.1614</v>
      </c>
      <c r="P51" s="36">
        <f t="shared" si="89"/>
        <v>-0.101204482213362</v>
      </c>
      <c r="Q51" s="127"/>
      <c r="R51" s="127"/>
      <c r="S51" s="35">
        <f t="shared" si="90"/>
        <v>154638.9096</v>
      </c>
      <c r="T51" s="36">
        <f t="shared" si="91"/>
        <v>-0.246977350079388</v>
      </c>
      <c r="U51" s="36"/>
      <c r="V51" s="35">
        <v>24456.1816</v>
      </c>
      <c r="W51" s="36">
        <f t="shared" si="92"/>
        <v>0.188087882892131</v>
      </c>
      <c r="X51" s="35">
        <v>19482.1834</v>
      </c>
      <c r="Y51" s="36">
        <f t="shared" si="93"/>
        <v>0.40852372667404</v>
      </c>
      <c r="Z51" s="35">
        <v>23344.3359</v>
      </c>
      <c r="AA51" s="36">
        <f t="shared" si="94"/>
        <v>0.0101583058943902</v>
      </c>
      <c r="AB51" s="35">
        <v>23695.2621</v>
      </c>
      <c r="AC51" s="36">
        <f t="shared" si="95"/>
        <v>-0.167716489641272</v>
      </c>
      <c r="AD51" s="35">
        <v>35121.995</v>
      </c>
      <c r="AE51" s="36">
        <f t="shared" si="96"/>
        <v>0.157835137953594</v>
      </c>
      <c r="AF51" s="35">
        <v>27595.4292</v>
      </c>
      <c r="AG51" s="36">
        <f t="shared" si="97"/>
        <v>0.226693369625645</v>
      </c>
      <c r="AH51" s="35">
        <v>26436.671</v>
      </c>
      <c r="AI51" s="36">
        <f t="shared" si="98"/>
        <v>0.138563115638766</v>
      </c>
      <c r="AJ51" s="35">
        <v>25225.5225</v>
      </c>
      <c r="AK51" s="36">
        <f t="shared" si="99"/>
        <v>0.056685851579082</v>
      </c>
      <c r="AL51" s="35">
        <v>25747.9319</v>
      </c>
      <c r="AM51" s="36">
        <f t="shared" si="100"/>
        <v>0.0227086973831556</v>
      </c>
      <c r="AN51" s="35">
        <v>23993.6486</v>
      </c>
      <c r="AO51" s="36">
        <f t="shared" si="101"/>
        <v>-0.0450678726735809</v>
      </c>
      <c r="AP51" s="35">
        <v>24179.7449</v>
      </c>
      <c r="AQ51" s="36">
        <f t="shared" si="102"/>
        <v>-0.0834736401660444</v>
      </c>
      <c r="AR51" s="35">
        <v>26789.6991</v>
      </c>
      <c r="AS51" s="36">
        <f t="shared" si="103"/>
        <v>-0.129404655844108</v>
      </c>
      <c r="AT51" s="35">
        <f t="shared" si="104"/>
        <v>306068.6052</v>
      </c>
      <c r="AU51" s="36">
        <f t="shared" si="105"/>
        <v>0.0432733003274017</v>
      </c>
      <c r="AV51" s="36"/>
      <c r="AW51" s="35">
        <f t="shared" si="106"/>
        <v>262601.6708</v>
      </c>
      <c r="AX51" s="35">
        <v>20584.4887</v>
      </c>
      <c r="AY51" s="36">
        <f t="shared" si="107"/>
        <v>0.871668994286035</v>
      </c>
      <c r="AZ51" s="35">
        <v>13831.6331</v>
      </c>
      <c r="BA51" s="36">
        <f t="shared" si="108"/>
        <v>-0.18161872701984</v>
      </c>
      <c r="BB51" s="35">
        <v>23109.5817</v>
      </c>
      <c r="BC51" s="36">
        <f t="shared" si="109"/>
        <v>0.280760524377346</v>
      </c>
      <c r="BD51" s="35">
        <v>28470.1809</v>
      </c>
      <c r="BE51" s="36">
        <f t="shared" si="110"/>
        <v>0.482588097655286</v>
      </c>
      <c r="BF51" s="35">
        <v>30334.1934</v>
      </c>
      <c r="BG51" s="36">
        <f t="shared" si="111"/>
        <v>0.0453423034668632</v>
      </c>
      <c r="BH51" s="35">
        <v>22495.7841</v>
      </c>
      <c r="BI51" s="36">
        <f t="shared" si="112"/>
        <v>0.245008915519363</v>
      </c>
      <c r="BJ51" s="35">
        <v>23219.3285</v>
      </c>
      <c r="BK51" s="36">
        <f t="shared" si="113"/>
        <v>0.197942928049214</v>
      </c>
      <c r="BL51" s="35">
        <v>23872.3008</v>
      </c>
      <c r="BM51" s="36">
        <f t="shared" si="114"/>
        <v>0.176073266273599</v>
      </c>
      <c r="BN51" s="35">
        <v>25176.2129</v>
      </c>
      <c r="BO51" s="36">
        <f t="shared" si="115"/>
        <v>0.352893678669027</v>
      </c>
      <c r="BP51" s="35">
        <v>25126.0251</v>
      </c>
      <c r="BQ51" s="36">
        <f t="shared" si="116"/>
        <v>0.314709774104454</v>
      </c>
      <c r="BR51" s="35">
        <v>26381.9416</v>
      </c>
      <c r="BS51" s="36">
        <f t="shared" si="117"/>
        <v>0.344602104512348</v>
      </c>
      <c r="BT51" s="35">
        <v>30771.7004</v>
      </c>
      <c r="BU51" s="36">
        <f t="shared" si="118"/>
        <v>0.599214753588864</v>
      </c>
      <c r="BV51" s="35">
        <f t="shared" si="119"/>
        <v>293373.3712</v>
      </c>
      <c r="BW51" s="36">
        <f t="shared" si="120"/>
        <v>0.283926586582242</v>
      </c>
      <c r="BX51" s="36"/>
      <c r="BY51" s="50">
        <v>10997.9322</v>
      </c>
      <c r="BZ51" s="721">
        <f t="shared" si="121"/>
        <v>-0.284859612160552</v>
      </c>
      <c r="CA51" s="50">
        <v>16901.2092</v>
      </c>
      <c r="CB51" s="721">
        <f t="shared" si="122"/>
        <v>0.773114003283279</v>
      </c>
      <c r="CC51" s="41">
        <v>18043.6399</v>
      </c>
      <c r="CD51" s="721">
        <f t="shared" si="123"/>
        <v>1.69293496263627</v>
      </c>
      <c r="CE51" s="41">
        <v>19203.0281</v>
      </c>
      <c r="CF51" s="721">
        <f t="shared" si="124"/>
        <v>1.49806724314181</v>
      </c>
      <c r="CG51" s="41">
        <v>29018.4309</v>
      </c>
      <c r="CH51" s="721">
        <f t="shared" si="125"/>
        <v>2.73484071091994</v>
      </c>
      <c r="CI51" s="702">
        <v>18068.7735</v>
      </c>
      <c r="CJ51" s="721">
        <f t="shared" si="126"/>
        <v>1.23908038704196</v>
      </c>
      <c r="CK51" s="702">
        <v>19382.6667</v>
      </c>
      <c r="CL51" s="721">
        <f t="shared" si="127"/>
        <v>1.43941498643611</v>
      </c>
      <c r="CM51" s="41">
        <v>20298.3109</v>
      </c>
      <c r="CN51" s="721">
        <f t="shared" si="128"/>
        <v>1.64815641339335</v>
      </c>
      <c r="CO51" s="702">
        <v>18609.1585</v>
      </c>
      <c r="CP51" s="721">
        <f t="shared" si="129"/>
        <v>1.30876523587219</v>
      </c>
      <c r="CQ51" s="702">
        <v>19111.4614</v>
      </c>
      <c r="CR51" s="721">
        <f t="shared" si="130"/>
        <v>1.62017328426905</v>
      </c>
      <c r="CS51" s="50">
        <v>19620.6309</v>
      </c>
      <c r="CT51" s="721">
        <f t="shared" si="131"/>
        <v>1.21784184409179</v>
      </c>
      <c r="CU51" s="50">
        <v>19241.7562</v>
      </c>
      <c r="CV51" s="721">
        <f t="shared" si="132"/>
        <v>1.17501528221362</v>
      </c>
      <c r="CW51" s="41">
        <f t="shared" si="133"/>
        <v>228496.9984</v>
      </c>
      <c r="CX51" s="721">
        <f t="shared" si="134"/>
        <v>1.21775170620407</v>
      </c>
      <c r="CY51" s="721"/>
      <c r="CZ51" s="721">
        <f t="shared" si="135"/>
        <v>-0.0193100161728235</v>
      </c>
      <c r="DA51" s="721">
        <f t="shared" si="136"/>
        <v>0.0266421017913365</v>
      </c>
      <c r="DB51" s="721"/>
      <c r="DC51" s="721"/>
      <c r="DD51" s="721"/>
      <c r="DE51" s="721"/>
      <c r="DF51" s="721"/>
      <c r="DG51" s="721"/>
      <c r="DH51" s="721"/>
      <c r="DI51" s="721"/>
      <c r="DJ51" s="721"/>
      <c r="DK51" s="721"/>
      <c r="DM51" s="50">
        <v>15378.7038</v>
      </c>
      <c r="DN51" s="50">
        <v>9531.936</v>
      </c>
      <c r="DO51" s="41">
        <v>6700.3623</v>
      </c>
      <c r="DP51" s="41">
        <v>7687.1542</v>
      </c>
      <c r="DQ51" s="41">
        <v>7769.6569</v>
      </c>
      <c r="DR51" s="41">
        <v>8069.7297</v>
      </c>
      <c r="DS51" s="41">
        <v>7945.6209</v>
      </c>
      <c r="DT51" s="41">
        <v>7665.0725</v>
      </c>
      <c r="DU51" s="41">
        <v>8060.2212</v>
      </c>
      <c r="DV51" s="41">
        <v>7293.9685</v>
      </c>
      <c r="DW51" s="41">
        <v>8081.7716</v>
      </c>
      <c r="DX51" s="41">
        <v>8846.7223</v>
      </c>
      <c r="DY51" s="721">
        <v>1.06825006968611</v>
      </c>
      <c r="DZ51" s="41">
        <f t="shared" si="137"/>
        <v>103030.9199</v>
      </c>
      <c r="EA51" s="36">
        <f t="shared" si="138"/>
        <v>1.18428443720079</v>
      </c>
      <c r="EB51" s="36"/>
      <c r="EC51" s="737">
        <v>5273.7508</v>
      </c>
      <c r="ED51" s="737">
        <v>2966.4902</v>
      </c>
      <c r="EE51" s="737">
        <v>3809.14114</v>
      </c>
      <c r="EF51" s="737">
        <v>4040.47802</v>
      </c>
      <c r="EG51" s="737">
        <v>3968.8496</v>
      </c>
      <c r="EH51" s="737">
        <v>4025.1416</v>
      </c>
      <c r="EI51" s="737">
        <v>4415.3939</v>
      </c>
      <c r="EJ51" s="737">
        <v>2242.5845</v>
      </c>
      <c r="EK51" s="737">
        <v>3796.2662</v>
      </c>
      <c r="EL51" s="737">
        <v>4067.525</v>
      </c>
      <c r="EM51" s="737">
        <v>4286.1706</v>
      </c>
      <c r="EN51" s="737">
        <v>4277.3949</v>
      </c>
      <c r="EO51" s="717">
        <f t="shared" si="139"/>
        <v>47169.18646</v>
      </c>
      <c r="EP51" s="36"/>
      <c r="EQ51" s="740">
        <f>SUM(EC51:EN51)</f>
        <v>47169.18646</v>
      </c>
    </row>
    <row r="52" ht="27" customHeight="1" spans="1:147">
      <c r="A52" s="29"/>
      <c r="B52" s="707" t="s">
        <v>93</v>
      </c>
      <c r="C52" s="35">
        <v>104779.479544487</v>
      </c>
      <c r="D52" s="36">
        <f t="shared" si="83"/>
        <v>0.249032069098897</v>
      </c>
      <c r="E52" s="35">
        <v>70549.9352426835</v>
      </c>
      <c r="F52" s="36">
        <f t="shared" si="84"/>
        <v>-0.149280375665374</v>
      </c>
      <c r="G52" s="35">
        <v>113690.64671709</v>
      </c>
      <c r="H52" s="36">
        <f t="shared" si="85"/>
        <v>-0.00892931233672645</v>
      </c>
      <c r="I52" s="35">
        <v>118818.325834266</v>
      </c>
      <c r="J52" s="36">
        <f t="shared" si="86"/>
        <v>0.0237219271657265</v>
      </c>
      <c r="K52" s="35">
        <v>122082.637777699</v>
      </c>
      <c r="L52" s="36">
        <f t="shared" si="87"/>
        <v>0.0742276398527999</v>
      </c>
      <c r="M52" s="35">
        <v>104494.754081814</v>
      </c>
      <c r="N52" s="36">
        <f t="shared" si="88"/>
        <v>0.0604868337653974</v>
      </c>
      <c r="O52" s="35">
        <v>106773.18795039</v>
      </c>
      <c r="P52" s="36">
        <f t="shared" si="89"/>
        <v>0.0157937441532117</v>
      </c>
      <c r="Q52" s="127"/>
      <c r="R52" s="127"/>
      <c r="S52" s="35">
        <f t="shared" si="90"/>
        <v>741188.967148429</v>
      </c>
      <c r="T52" s="36">
        <f t="shared" si="91"/>
        <v>-0.0894905789726802</v>
      </c>
      <c r="U52" s="36"/>
      <c r="V52" s="35">
        <v>83888.5422854509</v>
      </c>
      <c r="W52" s="36">
        <f t="shared" si="92"/>
        <v>-0.090848197223131</v>
      </c>
      <c r="X52" s="35">
        <v>82929.7141203987</v>
      </c>
      <c r="Y52" s="36">
        <f t="shared" si="93"/>
        <v>0.594667951138296</v>
      </c>
      <c r="Z52" s="35">
        <v>114714.972536568</v>
      </c>
      <c r="AA52" s="36">
        <f t="shared" si="94"/>
        <v>0.137229064224414</v>
      </c>
      <c r="AB52" s="35">
        <v>116065.039422596</v>
      </c>
      <c r="AC52" s="36">
        <f t="shared" si="95"/>
        <v>0.153326616776897</v>
      </c>
      <c r="AD52" s="35">
        <v>113646.896848072</v>
      </c>
      <c r="AE52" s="36">
        <f t="shared" si="96"/>
        <v>0.0741307335726804</v>
      </c>
      <c r="AF52" s="35">
        <v>98534.7019451356</v>
      </c>
      <c r="AG52" s="36">
        <f t="shared" si="97"/>
        <v>0.0679321898092251</v>
      </c>
      <c r="AH52" s="35">
        <v>105113.059186438</v>
      </c>
      <c r="AI52" s="36">
        <f t="shared" si="98"/>
        <v>0.0577152489995216</v>
      </c>
      <c r="AJ52" s="35">
        <v>99144.7431526564</v>
      </c>
      <c r="AK52" s="36">
        <f t="shared" si="99"/>
        <v>0.0485598867164259</v>
      </c>
      <c r="AL52" s="35">
        <v>102392.665181741</v>
      </c>
      <c r="AM52" s="36">
        <f t="shared" si="100"/>
        <v>0.076956464983877</v>
      </c>
      <c r="AN52" s="35">
        <v>92545.1651924646</v>
      </c>
      <c r="AO52" s="36">
        <f t="shared" si="101"/>
        <v>-0.00758614575315719</v>
      </c>
      <c r="AP52" s="35">
        <v>99293.3213013309</v>
      </c>
      <c r="AQ52" s="36">
        <f t="shared" si="102"/>
        <v>-0.000637537027394441</v>
      </c>
      <c r="AR52" s="35">
        <v>102807.013271544</v>
      </c>
      <c r="AS52" s="36">
        <f t="shared" si="103"/>
        <v>-0.0169372417603488</v>
      </c>
      <c r="AT52" s="35">
        <f t="shared" si="104"/>
        <v>1211075.8344444</v>
      </c>
      <c r="AU52" s="36">
        <f t="shared" si="105"/>
        <v>0.0717033999297889</v>
      </c>
      <c r="AV52" s="36"/>
      <c r="AW52" s="35">
        <f t="shared" si="106"/>
        <v>1025469.29991936</v>
      </c>
      <c r="AX52" s="35">
        <v>92271.215906107</v>
      </c>
      <c r="AY52" s="36">
        <f t="shared" si="107"/>
        <v>0.31121008784177</v>
      </c>
      <c r="AZ52" s="35">
        <v>52004.3775014117</v>
      </c>
      <c r="BA52" s="36">
        <f t="shared" si="108"/>
        <v>-0.394533043086854</v>
      </c>
      <c r="BB52" s="35">
        <v>100872.35381625</v>
      </c>
      <c r="BC52" s="36">
        <f t="shared" si="109"/>
        <v>-0.0251145069427718</v>
      </c>
      <c r="BD52" s="35">
        <v>100635.013303476</v>
      </c>
      <c r="BE52" s="36">
        <f t="shared" si="110"/>
        <v>0.0177086545240568</v>
      </c>
      <c r="BF52" s="35">
        <v>105803.59847825</v>
      </c>
      <c r="BG52" s="36">
        <f t="shared" si="111"/>
        <v>0.110422321306191</v>
      </c>
      <c r="BH52" s="35">
        <v>92266.8151455738</v>
      </c>
      <c r="BI52" s="36">
        <f t="shared" si="112"/>
        <v>-0.0693019189090736</v>
      </c>
      <c r="BJ52" s="35">
        <v>99377.4641009128</v>
      </c>
      <c r="BK52" s="36">
        <f t="shared" si="113"/>
        <v>-0.0138561447348337</v>
      </c>
      <c r="BL52" s="35">
        <v>94553.2481345715</v>
      </c>
      <c r="BM52" s="36">
        <f t="shared" si="114"/>
        <v>0.0363362401913212</v>
      </c>
      <c r="BN52" s="35">
        <v>95075.9557242399</v>
      </c>
      <c r="BO52" s="36">
        <f t="shared" si="115"/>
        <v>-0.0578260452206896</v>
      </c>
      <c r="BP52" s="35">
        <v>93252.5929544771</v>
      </c>
      <c r="BQ52" s="36">
        <f t="shared" si="116"/>
        <v>0.0108391530252956</v>
      </c>
      <c r="BR52" s="35">
        <v>99356.6648540938</v>
      </c>
      <c r="BS52" s="36">
        <f t="shared" si="117"/>
        <v>-0.0155812169281206</v>
      </c>
      <c r="BT52" s="35">
        <v>104578.280897995</v>
      </c>
      <c r="BU52" s="36">
        <f t="shared" si="118"/>
        <v>0.0285942470743616</v>
      </c>
      <c r="BV52" s="35">
        <f t="shared" si="119"/>
        <v>1130047.58081736</v>
      </c>
      <c r="BW52" s="36">
        <f t="shared" si="120"/>
        <v>-0.00943649043934836</v>
      </c>
      <c r="BX52" s="36"/>
      <c r="BY52" s="50">
        <v>70371.038753968</v>
      </c>
      <c r="BZ52" s="721">
        <f t="shared" si="121"/>
        <v>-0.038399889682453</v>
      </c>
      <c r="CA52" s="50">
        <v>85891.3552715507</v>
      </c>
      <c r="CB52" s="721">
        <f t="shared" si="122"/>
        <v>0.575155400212951</v>
      </c>
      <c r="CC52" s="41">
        <v>103470.976370687</v>
      </c>
      <c r="CD52" s="721">
        <f t="shared" si="123"/>
        <v>0.236794321604471</v>
      </c>
      <c r="CE52" s="41">
        <v>98883.9122632195</v>
      </c>
      <c r="CF52" s="721">
        <f t="shared" si="124"/>
        <v>0.169625974070263</v>
      </c>
      <c r="CG52" s="41">
        <v>95282.3051627719</v>
      </c>
      <c r="CH52" s="721">
        <f t="shared" si="125"/>
        <v>0.0385515127821585</v>
      </c>
      <c r="CI52" s="50">
        <v>99137.2143342365</v>
      </c>
      <c r="CJ52" s="721">
        <f t="shared" si="126"/>
        <v>0.187808993597306</v>
      </c>
      <c r="CK52" s="702">
        <v>100773.800465644</v>
      </c>
      <c r="CL52" s="721">
        <f t="shared" si="127"/>
        <v>0.0992729177330898</v>
      </c>
      <c r="CM52" s="41">
        <v>91238.0021730358</v>
      </c>
      <c r="CN52" s="721">
        <f t="shared" si="128"/>
        <v>0.219887666229828</v>
      </c>
      <c r="CO52" s="41">
        <v>100911.254489634</v>
      </c>
      <c r="CP52" s="721">
        <f t="shared" si="129"/>
        <v>0.0364907101307292</v>
      </c>
      <c r="CQ52" s="41">
        <v>92252.6523387876</v>
      </c>
      <c r="CR52" s="721">
        <f t="shared" si="130"/>
        <v>0.0297087130170475</v>
      </c>
      <c r="CS52" s="41">
        <v>100929.26563637</v>
      </c>
      <c r="CT52" s="721">
        <f t="shared" si="131"/>
        <v>-0.01428412426391</v>
      </c>
      <c r="CU52" s="41">
        <v>101671.073113084</v>
      </c>
      <c r="CV52" s="721">
        <f t="shared" si="132"/>
        <v>-0.00703933354908259</v>
      </c>
      <c r="CW52" s="41">
        <f t="shared" si="133"/>
        <v>1140812.85037299</v>
      </c>
      <c r="CX52" s="721">
        <f t="shared" si="134"/>
        <v>0.111436500197807</v>
      </c>
      <c r="CY52" s="721"/>
      <c r="CZ52" s="721">
        <f t="shared" si="135"/>
        <v>0.00734977582603835</v>
      </c>
      <c r="DA52" s="721">
        <f t="shared" si="136"/>
        <v>0.094052724530006</v>
      </c>
      <c r="DB52" s="721"/>
      <c r="DC52" s="721"/>
      <c r="DD52" s="721"/>
      <c r="DE52" s="721"/>
      <c r="DF52" s="721"/>
      <c r="DG52" s="721"/>
      <c r="DH52" s="721"/>
      <c r="DI52" s="721"/>
      <c r="DJ52" s="721"/>
      <c r="DK52" s="721"/>
      <c r="DL52" s="21"/>
      <c r="DM52" s="745">
        <v>73181.1883119788</v>
      </c>
      <c r="DN52" s="745">
        <v>54528.813639555</v>
      </c>
      <c r="DO52" s="727">
        <v>83660.6172612888</v>
      </c>
      <c r="DP52" s="727">
        <v>84543.1911187014</v>
      </c>
      <c r="DQ52" s="727">
        <v>91745.3818997593</v>
      </c>
      <c r="DR52" s="727">
        <v>83462.2526589879</v>
      </c>
      <c r="DS52" s="727">
        <v>91673.1403457649</v>
      </c>
      <c r="DT52" s="727">
        <v>74792.1343077556</v>
      </c>
      <c r="DU52" s="727">
        <v>97358.5710931325</v>
      </c>
      <c r="DV52" s="727">
        <v>89591.0184818066</v>
      </c>
      <c r="DW52" s="727">
        <v>99502.8222713985</v>
      </c>
      <c r="DX52" s="727">
        <v>102391.843451847</v>
      </c>
      <c r="DY52" s="728">
        <v>-0.0192641973943065</v>
      </c>
      <c r="DZ52" s="727">
        <f t="shared" si="137"/>
        <v>1026430.97484198</v>
      </c>
      <c r="EA52" s="729">
        <f t="shared" si="138"/>
        <v>-0.0817070964491176</v>
      </c>
      <c r="EB52" s="741"/>
      <c r="EC52" s="737">
        <v>102143.24795111</v>
      </c>
      <c r="ED52" s="737">
        <v>53911.9615194439</v>
      </c>
      <c r="EE52" s="737">
        <v>82380.5585882345</v>
      </c>
      <c r="EF52" s="737">
        <v>96344.184790747</v>
      </c>
      <c r="EG52" s="737">
        <v>100632.949774368</v>
      </c>
      <c r="EH52" s="737">
        <v>101528.916832836</v>
      </c>
      <c r="EI52" s="737">
        <v>95536.3757009891</v>
      </c>
      <c r="EJ52" s="737">
        <v>77212.6219694957</v>
      </c>
      <c r="EK52" s="737">
        <v>102540.180584057</v>
      </c>
      <c r="EL52" s="737">
        <v>90137.4401439722</v>
      </c>
      <c r="EM52" s="737">
        <v>110988.367032605</v>
      </c>
      <c r="EN52" s="737">
        <v>104403.085091627</v>
      </c>
      <c r="EO52" s="717">
        <f t="shared" si="139"/>
        <v>1117759.88997949</v>
      </c>
      <c r="EP52" s="36"/>
      <c r="EQ52" s="740">
        <f>SUM(EC52:EN52)</f>
        <v>1117759.88997949</v>
      </c>
    </row>
    <row r="53" s="206" customFormat="1" ht="27" customHeight="1" spans="1:147">
      <c r="A53" s="707" t="s">
        <v>100</v>
      </c>
      <c r="B53" s="707" t="s">
        <v>88</v>
      </c>
      <c r="C53" s="35">
        <v>410.275281072411</v>
      </c>
      <c r="D53" s="36">
        <f t="shared" si="83"/>
        <v>0.183932151743646</v>
      </c>
      <c r="E53" s="35">
        <v>251.919602698761</v>
      </c>
      <c r="F53" s="36">
        <f t="shared" si="84"/>
        <v>-0.145137103761714</v>
      </c>
      <c r="G53" s="35">
        <v>395.897367874816</v>
      </c>
      <c r="H53" s="36">
        <f t="shared" si="85"/>
        <v>-0.0208668558646273</v>
      </c>
      <c r="I53" s="35">
        <v>415.691985788766</v>
      </c>
      <c r="J53" s="36">
        <f t="shared" si="86"/>
        <v>0.00510179005807188</v>
      </c>
      <c r="K53" s="35">
        <v>420.790952838595</v>
      </c>
      <c r="L53" s="36">
        <f t="shared" si="87"/>
        <v>0.0332735494509275</v>
      </c>
      <c r="M53" s="35">
        <v>402.743538497358</v>
      </c>
      <c r="N53" s="36">
        <f t="shared" si="88"/>
        <v>0.0843755306598479</v>
      </c>
      <c r="O53" s="35">
        <v>383.371022267096</v>
      </c>
      <c r="P53" s="36">
        <f t="shared" si="89"/>
        <v>0.0136138879050485</v>
      </c>
      <c r="Q53" s="127"/>
      <c r="R53" s="127"/>
      <c r="S53" s="35">
        <f t="shared" si="90"/>
        <v>2680.6897510378</v>
      </c>
      <c r="T53" s="36">
        <f t="shared" si="91"/>
        <v>-0.108660267450473</v>
      </c>
      <c r="U53" s="36"/>
      <c r="V53" s="35">
        <v>346.536142690419</v>
      </c>
      <c r="W53" s="36">
        <f t="shared" si="92"/>
        <v>-0.0421649142722567</v>
      </c>
      <c r="X53" s="35">
        <v>294.690065280995</v>
      </c>
      <c r="Y53" s="36">
        <f t="shared" si="93"/>
        <v>0.569973965375593</v>
      </c>
      <c r="Z53" s="35">
        <v>404.334558835116</v>
      </c>
      <c r="AA53" s="36">
        <f t="shared" si="94"/>
        <v>0.179870912531177</v>
      </c>
      <c r="AB53" s="35">
        <v>413.58197736843</v>
      </c>
      <c r="AC53" s="36">
        <f t="shared" si="95"/>
        <v>0.121203323149604</v>
      </c>
      <c r="AD53" s="35">
        <v>407.24061219045</v>
      </c>
      <c r="AE53" s="36">
        <f t="shared" si="96"/>
        <v>0.0621537372486995</v>
      </c>
      <c r="AF53" s="35">
        <v>371.405963257292</v>
      </c>
      <c r="AG53" s="36">
        <f t="shared" si="97"/>
        <v>0.0532161365112687</v>
      </c>
      <c r="AH53" s="35">
        <v>378.221951022645</v>
      </c>
      <c r="AI53" s="36">
        <f t="shared" si="98"/>
        <v>0.051546525471978</v>
      </c>
      <c r="AJ53" s="35">
        <v>391.472467760593</v>
      </c>
      <c r="AK53" s="36">
        <f t="shared" si="99"/>
        <v>0.0267112270099552</v>
      </c>
      <c r="AL53" s="35">
        <v>421.130993221718</v>
      </c>
      <c r="AM53" s="36">
        <f t="shared" si="100"/>
        <v>0.0695138544989342</v>
      </c>
      <c r="AN53" s="35">
        <v>387.732320819638</v>
      </c>
      <c r="AO53" s="36">
        <f t="shared" si="101"/>
        <v>-0.0118327684675086</v>
      </c>
      <c r="AP53" s="35">
        <v>424.524865525349</v>
      </c>
      <c r="AQ53" s="36">
        <f t="shared" si="102"/>
        <v>0.00337785858370432</v>
      </c>
      <c r="AR53" s="35">
        <v>438.678867644627</v>
      </c>
      <c r="AS53" s="36">
        <f t="shared" si="103"/>
        <v>-0.02713731139855</v>
      </c>
      <c r="AT53" s="35">
        <f t="shared" si="104"/>
        <v>4679.55078561727</v>
      </c>
      <c r="AU53" s="36">
        <f t="shared" si="105"/>
        <v>0.0639629518739382</v>
      </c>
      <c r="AV53" s="36"/>
      <c r="AW53" s="35">
        <f t="shared" si="106"/>
        <v>3947.31168940265</v>
      </c>
      <c r="AX53" s="35">
        <v>361.791030474863</v>
      </c>
      <c r="AY53" s="36">
        <f t="shared" si="107"/>
        <v>0.754988776655393</v>
      </c>
      <c r="AZ53" s="35">
        <v>187.703791132928</v>
      </c>
      <c r="BA53" s="36">
        <f t="shared" si="108"/>
        <v>-0.224474860232639</v>
      </c>
      <c r="BB53" s="35">
        <v>342.693895188667</v>
      </c>
      <c r="BC53" s="36">
        <f t="shared" si="109"/>
        <v>0.0711697548561523</v>
      </c>
      <c r="BD53" s="35">
        <v>368.873306767077</v>
      </c>
      <c r="BE53" s="36">
        <f t="shared" si="110"/>
        <v>0.158197653475149</v>
      </c>
      <c r="BF53" s="35">
        <v>383.410233291959</v>
      </c>
      <c r="BG53" s="36">
        <f t="shared" si="111"/>
        <v>0.146909408477818</v>
      </c>
      <c r="BH53" s="35">
        <v>352.639833726397</v>
      </c>
      <c r="BI53" s="36">
        <f t="shared" si="112"/>
        <v>0.0656776214284447</v>
      </c>
      <c r="BJ53" s="35">
        <v>359.681613567106</v>
      </c>
      <c r="BK53" s="36">
        <f t="shared" si="113"/>
        <v>0.096232790844325</v>
      </c>
      <c r="BL53" s="35">
        <v>381.287802706376</v>
      </c>
      <c r="BM53" s="36">
        <f t="shared" si="114"/>
        <v>0.0641226917727156</v>
      </c>
      <c r="BN53" s="35">
        <v>393.759268709069</v>
      </c>
      <c r="BO53" s="36">
        <f t="shared" si="115"/>
        <v>0.0878021367774151</v>
      </c>
      <c r="BP53" s="35">
        <v>392.375205782048</v>
      </c>
      <c r="BQ53" s="36">
        <f t="shared" si="116"/>
        <v>0.0980473215468631</v>
      </c>
      <c r="BR53" s="35">
        <v>423.095708056163</v>
      </c>
      <c r="BS53" s="36">
        <f t="shared" si="117"/>
        <v>0.102630739941873</v>
      </c>
      <c r="BT53" s="35">
        <v>450.915502037862</v>
      </c>
      <c r="BU53" s="36">
        <f t="shared" si="118"/>
        <v>0.166011122642611</v>
      </c>
      <c r="BV53" s="35">
        <f t="shared" si="119"/>
        <v>4398.22719144052</v>
      </c>
      <c r="BW53" s="36">
        <f t="shared" si="120"/>
        <v>0.119720247657995</v>
      </c>
      <c r="BX53" s="36"/>
      <c r="BY53" s="50">
        <v>206.150053656955</v>
      </c>
      <c r="BZ53" s="721">
        <f t="shared" si="121"/>
        <v>-0.17614243077833</v>
      </c>
      <c r="CA53" s="50">
        <v>242.034437709182</v>
      </c>
      <c r="CB53" s="721">
        <f t="shared" si="122"/>
        <v>0.47167372189026</v>
      </c>
      <c r="CC53" s="41">
        <v>319.924917255237</v>
      </c>
      <c r="CD53" s="721">
        <f t="shared" si="123"/>
        <v>0.153806144003563</v>
      </c>
      <c r="CE53" s="41">
        <v>318.489081427751</v>
      </c>
      <c r="CF53" s="721">
        <f t="shared" si="124"/>
        <v>0.196820247641828</v>
      </c>
      <c r="CG53" s="41">
        <v>334.298620673818</v>
      </c>
      <c r="CH53" s="721">
        <f t="shared" si="125"/>
        <v>0.116484101333487</v>
      </c>
      <c r="CI53" s="702">
        <v>330.906670681247</v>
      </c>
      <c r="CJ53" s="721">
        <f t="shared" si="126"/>
        <v>0.187904288354786</v>
      </c>
      <c r="CK53" s="702">
        <v>328.106964662202</v>
      </c>
      <c r="CL53" s="721">
        <f t="shared" si="127"/>
        <v>0.147091958815538</v>
      </c>
      <c r="CM53" s="41">
        <v>358.311880438515</v>
      </c>
      <c r="CN53" s="721">
        <f t="shared" si="128"/>
        <v>0.218854861623644</v>
      </c>
      <c r="CO53" s="41">
        <v>361.976921534251</v>
      </c>
      <c r="CP53" s="721">
        <f t="shared" si="129"/>
        <v>0.110191973663577</v>
      </c>
      <c r="CQ53" s="41">
        <v>357.339067344833</v>
      </c>
      <c r="CR53" s="721">
        <f t="shared" si="130"/>
        <v>0.18271854347453</v>
      </c>
      <c r="CS53" s="41">
        <v>383.714776606416</v>
      </c>
      <c r="CT53" s="721">
        <f t="shared" si="131"/>
        <v>0.109835559365284</v>
      </c>
      <c r="CU53" s="41">
        <v>386.716295652413</v>
      </c>
      <c r="CV53" s="721">
        <f t="shared" si="132"/>
        <v>0.118516988313162</v>
      </c>
      <c r="CW53" s="41">
        <f t="shared" si="133"/>
        <v>3927.96968764282</v>
      </c>
      <c r="CX53" s="721">
        <f t="shared" si="134"/>
        <v>0.146211538429754</v>
      </c>
      <c r="CY53" s="721"/>
      <c r="CZ53" s="721">
        <f t="shared" si="135"/>
        <v>0.0078222659876237</v>
      </c>
      <c r="DA53" s="721">
        <f t="shared" si="136"/>
        <v>0.0738114347741621</v>
      </c>
      <c r="DB53" s="721"/>
      <c r="DC53" s="721"/>
      <c r="DD53" s="721"/>
      <c r="DE53" s="721"/>
      <c r="DF53" s="721"/>
      <c r="DG53" s="721"/>
      <c r="DH53" s="721"/>
      <c r="DI53" s="721"/>
      <c r="DJ53" s="721"/>
      <c r="DK53" s="721"/>
      <c r="DL53" s="222"/>
      <c r="DM53" s="742">
        <v>250.225356127653</v>
      </c>
      <c r="DN53" s="742">
        <v>164.46202314349</v>
      </c>
      <c r="DO53" s="731">
        <v>277.277876286165</v>
      </c>
      <c r="DP53" s="731">
        <v>266.112711625067</v>
      </c>
      <c r="DQ53" s="731">
        <v>299.420851828113</v>
      </c>
      <c r="DR53" s="731">
        <v>278.563411147832</v>
      </c>
      <c r="DS53" s="731">
        <v>286.033706487663</v>
      </c>
      <c r="DT53" s="731">
        <v>293.974198011735</v>
      </c>
      <c r="DU53" s="731">
        <v>326.048944796228</v>
      </c>
      <c r="DV53" s="731">
        <v>302.133647363861</v>
      </c>
      <c r="DW53" s="731">
        <v>336.922216966276</v>
      </c>
      <c r="DX53" s="731">
        <v>345.740207518547</v>
      </c>
      <c r="DY53" s="732">
        <v>-0.0774040807236311</v>
      </c>
      <c r="DZ53" s="731">
        <f t="shared" si="137"/>
        <v>3426.91515130263</v>
      </c>
      <c r="EA53" s="733">
        <f t="shared" si="138"/>
        <v>-0.0776011557909503</v>
      </c>
      <c r="EB53" s="743"/>
      <c r="EC53" s="737">
        <v>333.099019792593</v>
      </c>
      <c r="ED53" s="737">
        <v>128.038297247384</v>
      </c>
      <c r="EE53" s="737">
        <v>253.688260127502</v>
      </c>
      <c r="EF53" s="737">
        <v>328.164190946823</v>
      </c>
      <c r="EG53" s="737">
        <v>338.179852204058</v>
      </c>
      <c r="EH53" s="737">
        <v>362.703056288019</v>
      </c>
      <c r="EI53" s="737">
        <v>330.920232521789</v>
      </c>
      <c r="EJ53" s="737">
        <v>278.321519331144</v>
      </c>
      <c r="EK53" s="737">
        <v>325.124814254136</v>
      </c>
      <c r="EL53" s="737">
        <v>292.291937933274</v>
      </c>
      <c r="EM53" s="737">
        <v>369.942212671002</v>
      </c>
      <c r="EN53" s="737">
        <v>374.747167524571</v>
      </c>
      <c r="EO53" s="724">
        <f t="shared" si="139"/>
        <v>3715.2205608423</v>
      </c>
      <c r="EP53" s="36"/>
      <c r="EQ53" s="740">
        <f>SUM(EC53:EN53)</f>
        <v>3715.2205608423</v>
      </c>
    </row>
    <row r="54" ht="27" customHeight="1" spans="1:147">
      <c r="A54" s="45"/>
      <c r="B54" s="707" t="s">
        <v>89</v>
      </c>
      <c r="C54" s="35">
        <v>152.6211</v>
      </c>
      <c r="D54" s="36">
        <f t="shared" si="83"/>
        <v>0.185207763202445</v>
      </c>
      <c r="E54" s="35">
        <v>133.2456</v>
      </c>
      <c r="F54" s="36">
        <f t="shared" si="84"/>
        <v>0.18907708508094</v>
      </c>
      <c r="G54" s="35">
        <v>179.4963</v>
      </c>
      <c r="H54" s="36">
        <f t="shared" si="85"/>
        <v>0.407766640027042</v>
      </c>
      <c r="I54" s="35">
        <v>188.8777</v>
      </c>
      <c r="J54" s="36">
        <f t="shared" si="86"/>
        <v>0.382869430437994</v>
      </c>
      <c r="K54" s="35">
        <v>187.8576</v>
      </c>
      <c r="L54" s="36">
        <f t="shared" si="87"/>
        <v>0.306211222879917</v>
      </c>
      <c r="M54" s="35">
        <v>196.544</v>
      </c>
      <c r="N54" s="36">
        <f t="shared" si="88"/>
        <v>0.348283467159669</v>
      </c>
      <c r="O54" s="35">
        <v>164.6195</v>
      </c>
      <c r="P54" s="36">
        <f t="shared" si="89"/>
        <v>0.113522555630638</v>
      </c>
      <c r="Q54" s="127"/>
      <c r="R54" s="127"/>
      <c r="S54" s="35">
        <f t="shared" si="90"/>
        <v>1203.2618</v>
      </c>
      <c r="T54" s="36">
        <f t="shared" si="91"/>
        <v>0.124569592908398</v>
      </c>
      <c r="U54" s="36"/>
      <c r="V54" s="35">
        <v>128.7716</v>
      </c>
      <c r="W54" s="36">
        <f t="shared" si="92"/>
        <v>0.183218844526774</v>
      </c>
      <c r="X54" s="35">
        <v>112.058</v>
      </c>
      <c r="Y54" s="36">
        <f t="shared" si="93"/>
        <v>0.0531925292109656</v>
      </c>
      <c r="Z54" s="35">
        <v>127.5043</v>
      </c>
      <c r="AA54" s="36">
        <f t="shared" si="94"/>
        <v>0.0527400868254226</v>
      </c>
      <c r="AB54" s="35">
        <v>136.5839</v>
      </c>
      <c r="AC54" s="36">
        <f t="shared" si="95"/>
        <v>0.174653561056074</v>
      </c>
      <c r="AD54" s="35">
        <v>143.8187</v>
      </c>
      <c r="AE54" s="36">
        <f t="shared" si="96"/>
        <v>0.140497709388533</v>
      </c>
      <c r="AF54" s="35">
        <v>145.7735</v>
      </c>
      <c r="AG54" s="36">
        <f t="shared" si="97"/>
        <v>0.127614561094093</v>
      </c>
      <c r="AH54" s="35">
        <v>147.8367</v>
      </c>
      <c r="AI54" s="36">
        <f t="shared" si="98"/>
        <v>0.193329507232058</v>
      </c>
      <c r="AJ54" s="35">
        <v>127.6287</v>
      </c>
      <c r="AK54" s="36">
        <f t="shared" si="99"/>
        <v>0.0257364996495919</v>
      </c>
      <c r="AL54" s="35">
        <v>131.9346</v>
      </c>
      <c r="AM54" s="36">
        <f t="shared" si="100"/>
        <v>0.0890203698231444</v>
      </c>
      <c r="AN54" s="35">
        <v>110.2107</v>
      </c>
      <c r="AO54" s="36">
        <f t="shared" si="101"/>
        <v>-0.170811953594053</v>
      </c>
      <c r="AP54" s="35">
        <v>124.9464</v>
      </c>
      <c r="AQ54" s="36">
        <f t="shared" si="102"/>
        <v>-0.102609939734158</v>
      </c>
      <c r="AR54" s="35">
        <v>124.6693</v>
      </c>
      <c r="AS54" s="36">
        <f t="shared" si="103"/>
        <v>-0.221014542559825</v>
      </c>
      <c r="AT54" s="35">
        <f t="shared" si="104"/>
        <v>1561.7364</v>
      </c>
      <c r="AU54" s="36">
        <f t="shared" si="105"/>
        <v>0.0345023018580468</v>
      </c>
      <c r="AV54" s="36"/>
      <c r="AW54" s="35">
        <f t="shared" si="106"/>
        <v>1349.6094</v>
      </c>
      <c r="AX54" s="35">
        <v>108.8316</v>
      </c>
      <c r="AY54" s="36">
        <f t="shared" si="107"/>
        <v>2.95977339790353</v>
      </c>
      <c r="AZ54" s="35">
        <v>106.3984</v>
      </c>
      <c r="BA54" s="36">
        <f t="shared" si="108"/>
        <v>3.82455846010837</v>
      </c>
      <c r="BB54" s="35">
        <v>121.1166</v>
      </c>
      <c r="BC54" s="36">
        <f t="shared" si="109"/>
        <v>2.30985688402332</v>
      </c>
      <c r="BD54" s="35">
        <v>116.2759</v>
      </c>
      <c r="BE54" s="36">
        <f t="shared" si="110"/>
        <v>2.23736802833214</v>
      </c>
      <c r="BF54" s="35">
        <v>126.1017</v>
      </c>
      <c r="BG54" s="36">
        <f t="shared" si="111"/>
        <v>2.15913719890271</v>
      </c>
      <c r="BH54" s="35">
        <v>129.276</v>
      </c>
      <c r="BI54" s="36">
        <f t="shared" si="112"/>
        <v>2.58124111795358</v>
      </c>
      <c r="BJ54" s="35">
        <v>123.8859</v>
      </c>
      <c r="BK54" s="36">
        <f t="shared" si="113"/>
        <v>2.99146521810572</v>
      </c>
      <c r="BL54" s="35">
        <v>124.4264</v>
      </c>
      <c r="BM54" s="36">
        <f t="shared" si="114"/>
        <v>0.962023040995058</v>
      </c>
      <c r="BN54" s="35">
        <v>121.1498</v>
      </c>
      <c r="BO54" s="36">
        <f t="shared" si="115"/>
        <v>1.09901329752675</v>
      </c>
      <c r="BP54" s="35">
        <v>132.914</v>
      </c>
      <c r="BQ54" s="36">
        <f t="shared" si="116"/>
        <v>1.23259173406569</v>
      </c>
      <c r="BR54" s="35">
        <v>139.2331</v>
      </c>
      <c r="BS54" s="36">
        <f t="shared" si="117"/>
        <v>1.16387957267322</v>
      </c>
      <c r="BT54" s="35">
        <v>160.0406</v>
      </c>
      <c r="BU54" s="36">
        <f t="shared" si="118"/>
        <v>0.959476071071757</v>
      </c>
      <c r="BV54" s="35">
        <f t="shared" si="119"/>
        <v>1509.65</v>
      </c>
      <c r="BW54" s="36">
        <f t="shared" si="120"/>
        <v>1.71623646020043</v>
      </c>
      <c r="BX54" s="36"/>
      <c r="BY54" s="50">
        <v>27.4843</v>
      </c>
      <c r="BZ54" s="721">
        <f t="shared" si="121"/>
        <v>0.147234628709772</v>
      </c>
      <c r="CA54" s="50">
        <v>22.0535</v>
      </c>
      <c r="CB54" s="721">
        <f t="shared" si="122"/>
        <v>0.106970043769827</v>
      </c>
      <c r="CC54" s="41">
        <v>36.5927</v>
      </c>
      <c r="CD54" s="721">
        <f t="shared" si="123"/>
        <v>0.896250272057376</v>
      </c>
      <c r="CE54" s="41">
        <v>35.9168</v>
      </c>
      <c r="CF54" s="721">
        <f t="shared" si="124"/>
        <v>0.829801108575155</v>
      </c>
      <c r="CG54" s="41">
        <v>39.9165</v>
      </c>
      <c r="CH54" s="721">
        <f t="shared" si="125"/>
        <v>0.961325288180898</v>
      </c>
      <c r="CI54" s="702">
        <v>36.0981</v>
      </c>
      <c r="CJ54" s="721">
        <f t="shared" si="126"/>
        <v>0.177705929947278</v>
      </c>
      <c r="CK54" s="702">
        <v>31.0377</v>
      </c>
      <c r="CL54" s="721">
        <f t="shared" si="127"/>
        <v>0.0736790762354798</v>
      </c>
      <c r="CM54" s="41">
        <v>63.4174</v>
      </c>
      <c r="CN54" s="721">
        <f t="shared" si="128"/>
        <v>1.24360094672379</v>
      </c>
      <c r="CO54" s="41">
        <v>57.7175</v>
      </c>
      <c r="CP54" s="721">
        <f t="shared" si="129"/>
        <v>1.25574415032693</v>
      </c>
      <c r="CQ54" s="41">
        <v>59.5335</v>
      </c>
      <c r="CR54" s="721">
        <f t="shared" si="130"/>
        <v>1.38364737065479</v>
      </c>
      <c r="CS54" s="41">
        <v>64.3442</v>
      </c>
      <c r="CT54" s="721">
        <f t="shared" si="131"/>
        <v>1.33339135606374</v>
      </c>
      <c r="CU54" s="41">
        <v>81.6752</v>
      </c>
      <c r="CV54" s="721">
        <f t="shared" si="132"/>
        <v>1.96188631896546</v>
      </c>
      <c r="CW54" s="41">
        <f t="shared" si="133"/>
        <v>555.7874</v>
      </c>
      <c r="CX54" s="721">
        <f t="shared" si="134"/>
        <v>0.894580789783349</v>
      </c>
      <c r="CY54" s="721"/>
      <c r="CZ54" s="721">
        <f t="shared" si="135"/>
        <v>0.269348286248022</v>
      </c>
      <c r="DA54" s="721">
        <f t="shared" si="136"/>
        <v>0.0808066046847573</v>
      </c>
      <c r="DB54" s="721"/>
      <c r="DC54" s="721"/>
      <c r="DD54" s="721"/>
      <c r="DE54" s="721"/>
      <c r="DF54" s="721"/>
      <c r="DG54" s="721"/>
      <c r="DH54" s="721"/>
      <c r="DI54" s="721"/>
      <c r="DJ54" s="721"/>
      <c r="DK54" s="721"/>
      <c r="DL54" s="735" t="s">
        <v>100</v>
      </c>
      <c r="DM54" s="742">
        <v>23.957</v>
      </c>
      <c r="DN54" s="742">
        <v>19.9224</v>
      </c>
      <c r="DO54" s="731">
        <v>19.2974</v>
      </c>
      <c r="DP54" s="731">
        <v>19.6288</v>
      </c>
      <c r="DQ54" s="731">
        <v>20.3518</v>
      </c>
      <c r="DR54" s="731">
        <v>30.6512</v>
      </c>
      <c r="DS54" s="731">
        <v>28.9078</v>
      </c>
      <c r="DT54" s="731">
        <v>28.2659</v>
      </c>
      <c r="DU54" s="731">
        <v>25.5869</v>
      </c>
      <c r="DV54" s="731">
        <v>24.9758</v>
      </c>
      <c r="DW54" s="731">
        <v>24.236</v>
      </c>
      <c r="DX54" s="731">
        <v>27.5754</v>
      </c>
      <c r="DY54" s="732">
        <v>0.0539362946315958</v>
      </c>
      <c r="DZ54" s="731">
        <f t="shared" si="137"/>
        <v>293.3564</v>
      </c>
      <c r="EA54" s="733">
        <f t="shared" si="138"/>
        <v>0.0512076942926096</v>
      </c>
      <c r="EB54" s="733"/>
      <c r="EC54" s="737">
        <v>21.32733</v>
      </c>
      <c r="ED54" s="737">
        <v>18.4661</v>
      </c>
      <c r="EE54" s="737">
        <v>22.17543</v>
      </c>
      <c r="EF54" s="737">
        <v>23.70351</v>
      </c>
      <c r="EG54" s="737">
        <v>24.8254</v>
      </c>
      <c r="EH54" s="737">
        <v>24.6942</v>
      </c>
      <c r="EI54" s="737">
        <v>24.5394</v>
      </c>
      <c r="EJ54" s="737">
        <v>21.222</v>
      </c>
      <c r="EK54" s="737">
        <v>22.4081</v>
      </c>
      <c r="EL54" s="737">
        <v>25.1006</v>
      </c>
      <c r="EM54" s="737">
        <v>24.4398</v>
      </c>
      <c r="EN54" s="737">
        <v>26.1642</v>
      </c>
      <c r="EO54" s="717">
        <f t="shared" si="139"/>
        <v>279.06607</v>
      </c>
      <c r="EP54" s="36"/>
      <c r="EQ54" s="740">
        <f>SUM(EC54:EN54)</f>
        <v>279.06607</v>
      </c>
    </row>
    <row r="55" s="206" customFormat="1" ht="27" customHeight="1" spans="1:147">
      <c r="A55" s="45"/>
      <c r="B55" s="707" t="s">
        <v>90</v>
      </c>
      <c r="C55" s="35">
        <v>257.654181072411</v>
      </c>
      <c r="D55" s="36">
        <f t="shared" si="83"/>
        <v>0.18317783918891</v>
      </c>
      <c r="E55" s="35">
        <v>118.674002698761</v>
      </c>
      <c r="F55" s="36">
        <f t="shared" si="84"/>
        <v>-0.350201715584988</v>
      </c>
      <c r="G55" s="35">
        <v>216.401067874816</v>
      </c>
      <c r="H55" s="36">
        <f t="shared" si="85"/>
        <v>-0.218289688470409</v>
      </c>
      <c r="I55" s="35">
        <v>226.814285788766</v>
      </c>
      <c r="J55" s="36">
        <f t="shared" si="86"/>
        <v>-0.181170180155855</v>
      </c>
      <c r="K55" s="35">
        <v>232.933352838595</v>
      </c>
      <c r="L55" s="36">
        <f t="shared" si="87"/>
        <v>-0.115740407084329</v>
      </c>
      <c r="M55" s="35">
        <v>206.199538497358</v>
      </c>
      <c r="N55" s="36">
        <f t="shared" si="88"/>
        <v>-0.0861264575114545</v>
      </c>
      <c r="O55" s="35">
        <v>218.751522267096</v>
      </c>
      <c r="P55" s="36">
        <f t="shared" si="89"/>
        <v>-0.0504968469288232</v>
      </c>
      <c r="Q55" s="127"/>
      <c r="R55" s="127"/>
      <c r="S55" s="35">
        <f t="shared" si="90"/>
        <v>1477.4279510378</v>
      </c>
      <c r="T55" s="36">
        <f t="shared" si="91"/>
        <v>-0.237459823138961</v>
      </c>
      <c r="U55" s="36"/>
      <c r="V55" s="35">
        <v>217.764542690419</v>
      </c>
      <c r="W55" s="36">
        <f t="shared" si="92"/>
        <v>-0.139132538835872</v>
      </c>
      <c r="X55" s="35">
        <v>182.632065280995</v>
      </c>
      <c r="Y55" s="36">
        <f t="shared" si="93"/>
        <v>1.24624791463589</v>
      </c>
      <c r="Z55" s="35">
        <v>276.830258835116</v>
      </c>
      <c r="AA55" s="36">
        <f t="shared" si="94"/>
        <v>0.249362027816987</v>
      </c>
      <c r="AB55" s="35">
        <v>276.99807736843</v>
      </c>
      <c r="AC55" s="36">
        <f t="shared" si="95"/>
        <v>0.0965990542565354</v>
      </c>
      <c r="AD55" s="35">
        <v>263.42191219045</v>
      </c>
      <c r="AE55" s="36">
        <f t="shared" si="96"/>
        <v>0.0237589434764462</v>
      </c>
      <c r="AF55" s="35">
        <v>225.632463257292</v>
      </c>
      <c r="AG55" s="36">
        <f t="shared" si="97"/>
        <v>0.010156655592122</v>
      </c>
      <c r="AH55" s="35">
        <v>230.385251022645</v>
      </c>
      <c r="AI55" s="36">
        <f t="shared" si="98"/>
        <v>-0.0229455508864507</v>
      </c>
      <c r="AJ55" s="35">
        <v>263.843767760593</v>
      </c>
      <c r="AK55" s="36">
        <f t="shared" si="99"/>
        <v>0.0271833953277858</v>
      </c>
      <c r="AL55" s="35">
        <v>289.196393221718</v>
      </c>
      <c r="AM55" s="36">
        <f t="shared" si="100"/>
        <v>0.0608450050953684</v>
      </c>
      <c r="AN55" s="35">
        <v>277.521620819638</v>
      </c>
      <c r="AO55" s="36">
        <f t="shared" si="101"/>
        <v>0.0696073811233306</v>
      </c>
      <c r="AP55" s="35">
        <v>299.578465525349</v>
      </c>
      <c r="AQ55" s="36">
        <f t="shared" si="102"/>
        <v>0.0553643101386447</v>
      </c>
      <c r="AR55" s="35">
        <v>314.009567644627</v>
      </c>
      <c r="AS55" s="36">
        <f t="shared" si="103"/>
        <v>0.0795347602858969</v>
      </c>
      <c r="AT55" s="35">
        <f t="shared" si="104"/>
        <v>3117.81438561727</v>
      </c>
      <c r="AU55" s="36">
        <f t="shared" si="105"/>
        <v>0.0793598990035775</v>
      </c>
      <c r="AV55" s="36"/>
      <c r="AW55" s="35">
        <f t="shared" si="106"/>
        <v>2597.70228940265</v>
      </c>
      <c r="AX55" s="35">
        <v>252.959430474863</v>
      </c>
      <c r="AY55" s="36">
        <f t="shared" si="107"/>
        <v>0.415824942929772</v>
      </c>
      <c r="AZ55" s="35">
        <v>81.305391132928</v>
      </c>
      <c r="BA55" s="36">
        <f t="shared" si="108"/>
        <v>-0.630398015484347</v>
      </c>
      <c r="BB55" s="35">
        <v>221.577295188667</v>
      </c>
      <c r="BC55" s="36">
        <f t="shared" si="109"/>
        <v>-0.217959407033965</v>
      </c>
      <c r="BD55" s="35">
        <v>252.597406767077</v>
      </c>
      <c r="BE55" s="36">
        <f t="shared" si="110"/>
        <v>-0.106078609371097</v>
      </c>
      <c r="BF55" s="35">
        <v>257.308533291959</v>
      </c>
      <c r="BG55" s="36">
        <f t="shared" si="111"/>
        <v>-0.125936953293904</v>
      </c>
      <c r="BH55" s="35">
        <v>223.363833726397</v>
      </c>
      <c r="BI55" s="36">
        <f t="shared" si="112"/>
        <v>-0.242342808384962</v>
      </c>
      <c r="BJ55" s="35">
        <v>235.795713567106</v>
      </c>
      <c r="BK55" s="36">
        <f t="shared" si="113"/>
        <v>-0.206260150018449</v>
      </c>
      <c r="BL55" s="35">
        <v>256.861402706376</v>
      </c>
      <c r="BM55" s="36">
        <f t="shared" si="114"/>
        <v>-0.128971819599956</v>
      </c>
      <c r="BN55" s="35">
        <v>272.609468709069</v>
      </c>
      <c r="BO55" s="36">
        <f t="shared" si="115"/>
        <v>-0.104022917895475</v>
      </c>
      <c r="BP55" s="35">
        <v>259.461205782048</v>
      </c>
      <c r="BQ55" s="36">
        <f t="shared" si="116"/>
        <v>-0.128756362430208</v>
      </c>
      <c r="BR55" s="35">
        <v>283.862608056163</v>
      </c>
      <c r="BS55" s="36">
        <f t="shared" si="117"/>
        <v>-0.111181089152155</v>
      </c>
      <c r="BT55" s="35">
        <v>290.874902037862</v>
      </c>
      <c r="BU55" s="36">
        <f t="shared" si="118"/>
        <v>-0.046440279085193</v>
      </c>
      <c r="BV55" s="35">
        <f t="shared" si="119"/>
        <v>2888.57719144051</v>
      </c>
      <c r="BW55" s="36">
        <f t="shared" si="120"/>
        <v>-0.14341012879833</v>
      </c>
      <c r="BX55" s="36"/>
      <c r="BY55" s="50">
        <v>178.665753656955</v>
      </c>
      <c r="BZ55" s="721">
        <f t="shared" si="121"/>
        <v>-0.210381174307212</v>
      </c>
      <c r="CA55" s="50">
        <v>219.980937709182</v>
      </c>
      <c r="CB55" s="721">
        <f t="shared" si="122"/>
        <v>0.521942100892283</v>
      </c>
      <c r="CC55" s="41">
        <v>283.332217255237</v>
      </c>
      <c r="CD55" s="721">
        <f t="shared" si="123"/>
        <v>0.0982699983116186</v>
      </c>
      <c r="CE55" s="41">
        <v>282.572281427751</v>
      </c>
      <c r="CF55" s="721">
        <f t="shared" si="124"/>
        <v>0.146412678883395</v>
      </c>
      <c r="CG55" s="41">
        <v>294.382120673818</v>
      </c>
      <c r="CH55" s="721">
        <f t="shared" si="125"/>
        <v>0.0548719707376828</v>
      </c>
      <c r="CI55" s="702">
        <v>294.808570681247</v>
      </c>
      <c r="CJ55" s="721">
        <f t="shared" si="126"/>
        <v>0.189165185999855</v>
      </c>
      <c r="CK55" s="702">
        <v>297.069264662202</v>
      </c>
      <c r="CL55" s="721">
        <f t="shared" si="127"/>
        <v>0.155345522044686</v>
      </c>
      <c r="CM55" s="41">
        <v>294.894480438515</v>
      </c>
      <c r="CN55" s="721">
        <f t="shared" si="128"/>
        <v>0.109842946739627</v>
      </c>
      <c r="CO55" s="41">
        <v>304.259421534251</v>
      </c>
      <c r="CP55" s="721">
        <f t="shared" si="129"/>
        <v>0.0126384573485758</v>
      </c>
      <c r="CQ55" s="41">
        <v>297.805567344833</v>
      </c>
      <c r="CR55" s="721">
        <f t="shared" si="130"/>
        <v>0.0744980529231238</v>
      </c>
      <c r="CS55" s="41">
        <v>319.370576606416</v>
      </c>
      <c r="CT55" s="721">
        <f t="shared" si="131"/>
        <v>0.00378976259905417</v>
      </c>
      <c r="CU55" s="41">
        <v>305.041095652413</v>
      </c>
      <c r="CV55" s="721">
        <f t="shared" si="132"/>
        <v>-0.0412481567917249</v>
      </c>
      <c r="CW55" s="41">
        <f t="shared" si="133"/>
        <v>3372.18228764282</v>
      </c>
      <c r="CX55" s="721">
        <f t="shared" si="134"/>
        <v>0.0761509693223377</v>
      </c>
      <c r="CY55" s="721"/>
      <c r="CZ55" s="721">
        <f t="shared" si="135"/>
        <v>-0.0448678807743217</v>
      </c>
      <c r="DA55" s="721">
        <f t="shared" si="136"/>
        <v>0.0724130494062007</v>
      </c>
      <c r="DB55" s="721"/>
      <c r="DC55" s="721"/>
      <c r="DD55" s="721"/>
      <c r="DE55" s="721"/>
      <c r="DF55" s="721"/>
      <c r="DG55" s="721"/>
      <c r="DH55" s="721"/>
      <c r="DI55" s="721"/>
      <c r="DJ55" s="721"/>
      <c r="DK55" s="721"/>
      <c r="DL55" s="206"/>
      <c r="DM55" s="742">
        <v>226.268356127653</v>
      </c>
      <c r="DN55" s="742">
        <v>144.53962314349</v>
      </c>
      <c r="DO55" s="731">
        <v>257.980476286165</v>
      </c>
      <c r="DP55" s="731">
        <v>246.483911625067</v>
      </c>
      <c r="DQ55" s="731">
        <v>279.069051828113</v>
      </c>
      <c r="DR55" s="731">
        <v>247.912211147832</v>
      </c>
      <c r="DS55" s="731">
        <v>257.125906487663</v>
      </c>
      <c r="DT55" s="731">
        <v>265.708298011735</v>
      </c>
      <c r="DU55" s="731">
        <v>300.462044796228</v>
      </c>
      <c r="DV55" s="731">
        <v>277.157847363861</v>
      </c>
      <c r="DW55" s="731">
        <v>312.686216966276</v>
      </c>
      <c r="DX55" s="731">
        <v>318.164807518547</v>
      </c>
      <c r="DY55" s="732">
        <v>-0.0872623244389584</v>
      </c>
      <c r="DZ55" s="731">
        <f t="shared" si="137"/>
        <v>3133.55875130263</v>
      </c>
      <c r="EA55" s="733">
        <f t="shared" si="138"/>
        <v>-0.0880623209305966</v>
      </c>
      <c r="EB55" s="733"/>
      <c r="EC55" s="737">
        <v>311.771689792593</v>
      </c>
      <c r="ED55" s="737">
        <v>109.572197247384</v>
      </c>
      <c r="EE55" s="737">
        <v>231.512830127502</v>
      </c>
      <c r="EF55" s="737">
        <v>304.460680946823</v>
      </c>
      <c r="EG55" s="737">
        <v>313.354452204058</v>
      </c>
      <c r="EH55" s="737">
        <v>338.008856288019</v>
      </c>
      <c r="EI55" s="737">
        <v>306.380832521789</v>
      </c>
      <c r="EJ55" s="737">
        <v>257.099519331144</v>
      </c>
      <c r="EK55" s="737">
        <v>302.716714254136</v>
      </c>
      <c r="EL55" s="737">
        <v>267.191337933274</v>
      </c>
      <c r="EM55" s="737">
        <v>345.502412671002</v>
      </c>
      <c r="EN55" s="737">
        <v>348.582967524571</v>
      </c>
      <c r="EO55" s="724">
        <f t="shared" si="139"/>
        <v>3436.1544908423</v>
      </c>
      <c r="EP55" s="36"/>
      <c r="EQ55" s="740">
        <f>SUM(EC55:EN55)</f>
        <v>3436.1544908423</v>
      </c>
    </row>
    <row r="56" ht="27" customHeight="1" spans="1:147">
      <c r="A56" s="45"/>
      <c r="B56" s="707" t="s">
        <v>91</v>
      </c>
      <c r="C56" s="35">
        <f>C57+C58</f>
        <v>49417.4163738223</v>
      </c>
      <c r="D56" s="36">
        <f t="shared" si="83"/>
        <v>0.119530738336472</v>
      </c>
      <c r="E56" s="35">
        <f>E57+E58</f>
        <v>34787.3963823102</v>
      </c>
      <c r="F56" s="36">
        <f t="shared" si="84"/>
        <v>-0.164872512135313</v>
      </c>
      <c r="G56" s="35">
        <f>G57+G58</f>
        <v>51945.5483963498</v>
      </c>
      <c r="H56" s="36">
        <f t="shared" si="85"/>
        <v>-0.0457456035457147</v>
      </c>
      <c r="I56" s="35">
        <f>I57+I58</f>
        <v>54016.7476927047</v>
      </c>
      <c r="J56" s="36">
        <f t="shared" si="86"/>
        <v>-0.0209337809476744</v>
      </c>
      <c r="K56" s="35">
        <f>K57+K58</f>
        <v>53612.6514740861</v>
      </c>
      <c r="L56" s="36">
        <f t="shared" si="87"/>
        <v>-0.0304509355698747</v>
      </c>
      <c r="M56" s="35">
        <f>M57+M58</f>
        <v>50803.04190423</v>
      </c>
      <c r="N56" s="36">
        <f t="shared" si="88"/>
        <v>-0.000756406746514116</v>
      </c>
      <c r="O56" s="35">
        <f>O57+O58</f>
        <v>48936.5972472223</v>
      </c>
      <c r="P56" s="36">
        <f t="shared" si="89"/>
        <v>-0.0330551109831282</v>
      </c>
      <c r="Q56" s="127"/>
      <c r="R56" s="127"/>
      <c r="S56" s="35">
        <f t="shared" si="90"/>
        <v>343519.399470725</v>
      </c>
      <c r="T56" s="36">
        <f t="shared" si="91"/>
        <v>-0.150193217825351</v>
      </c>
      <c r="U56" s="36"/>
      <c r="V56" s="35">
        <f>V57+V58</f>
        <v>44141.1876258551</v>
      </c>
      <c r="W56" s="36">
        <f t="shared" si="92"/>
        <v>-0.00951607965395884</v>
      </c>
      <c r="X56" s="35">
        <f>X57+X58</f>
        <v>41655.1926356263</v>
      </c>
      <c r="Y56" s="36">
        <f t="shared" si="93"/>
        <v>0.419752011217978</v>
      </c>
      <c r="Z56" s="35">
        <f>Z57+Z58</f>
        <v>54435.744377352</v>
      </c>
      <c r="AA56" s="36">
        <f t="shared" si="94"/>
        <v>0.118521560899193</v>
      </c>
      <c r="AB56" s="35">
        <f>AB57+AB58</f>
        <v>55171.6999744813</v>
      </c>
      <c r="AC56" s="36">
        <f t="shared" si="95"/>
        <v>0.111102181339447</v>
      </c>
      <c r="AD56" s="35">
        <f>AD57+AD58</f>
        <v>55296.481055962</v>
      </c>
      <c r="AE56" s="36">
        <f t="shared" si="96"/>
        <v>0.112703322537923</v>
      </c>
      <c r="AF56" s="35">
        <f>AF57+AF58</f>
        <v>50841.4987568926</v>
      </c>
      <c r="AG56" s="36">
        <f t="shared" si="97"/>
        <v>0.124949259562208</v>
      </c>
      <c r="AH56" s="35">
        <f>AH57+AH58</f>
        <v>50609.4998826437</v>
      </c>
      <c r="AI56" s="36">
        <f t="shared" si="98"/>
        <v>0.0800160223902031</v>
      </c>
      <c r="AJ56" s="35">
        <f>AJ57+AJ58</f>
        <v>52081.0537710578</v>
      </c>
      <c r="AK56" s="36">
        <f t="shared" si="99"/>
        <v>0.0450298369608595</v>
      </c>
      <c r="AL56" s="35">
        <f>AL57+AL58</f>
        <v>55315.6838463489</v>
      </c>
      <c r="AM56" s="36">
        <f t="shared" si="100"/>
        <v>0.0667928974737739</v>
      </c>
      <c r="AN56" s="35">
        <f>AN57+AN58</f>
        <v>51109.4091940534</v>
      </c>
      <c r="AO56" s="36">
        <f t="shared" si="101"/>
        <v>-0.0125887465729053</v>
      </c>
      <c r="AP56" s="35">
        <f>AP57+AP58</f>
        <v>54171.2486805927</v>
      </c>
      <c r="AQ56" s="36">
        <f t="shared" si="102"/>
        <v>0.00786063702076678</v>
      </c>
      <c r="AR56" s="35">
        <f>AR57+AR58</f>
        <v>57814.450210292</v>
      </c>
      <c r="AS56" s="36">
        <f t="shared" si="103"/>
        <v>-0.0193703149521794</v>
      </c>
      <c r="AT56" s="35">
        <f t="shared" si="104"/>
        <v>622643.150011158</v>
      </c>
      <c r="AU56" s="36">
        <f t="shared" si="105"/>
        <v>0.0732764596674393</v>
      </c>
      <c r="AV56" s="36"/>
      <c r="AW56" s="35">
        <f t="shared" si="106"/>
        <v>521176.598381693</v>
      </c>
      <c r="AX56" s="35">
        <f>AX57+AX58</f>
        <v>44565.2743261432</v>
      </c>
      <c r="AY56" s="36">
        <f t="shared" si="107"/>
        <v>0.495671232076934</v>
      </c>
      <c r="AZ56" s="35">
        <f>AZ57+AZ58</f>
        <v>29339.7665976124</v>
      </c>
      <c r="BA56" s="36">
        <f t="shared" si="108"/>
        <v>-0.168807267485448</v>
      </c>
      <c r="BB56" s="35">
        <f>BB57+BB58</f>
        <v>48667.5861067805</v>
      </c>
      <c r="BC56" s="36">
        <f t="shared" si="109"/>
        <v>0.120165823897318</v>
      </c>
      <c r="BD56" s="35">
        <f>BD57+BD58</f>
        <v>49654.9290434937</v>
      </c>
      <c r="BE56" s="36">
        <f t="shared" si="110"/>
        <v>0.152960344299317</v>
      </c>
      <c r="BF56" s="35">
        <f>BF57+BF58</f>
        <v>49695.6196103004</v>
      </c>
      <c r="BG56" s="36">
        <f t="shared" si="111"/>
        <v>0.134277917148088</v>
      </c>
      <c r="BH56" s="35">
        <f>BH57+BH58</f>
        <v>45194.4817286056</v>
      </c>
      <c r="BI56" s="36">
        <f t="shared" si="112"/>
        <v>0.0566743170512696</v>
      </c>
      <c r="BJ56" s="35">
        <f>BJ57+BJ58</f>
        <v>46859.9528464762</v>
      </c>
      <c r="BK56" s="36">
        <f t="shared" si="113"/>
        <v>0.09077419193724</v>
      </c>
      <c r="BL56" s="35">
        <f>BL57+BL58</f>
        <v>49836.9060184149</v>
      </c>
      <c r="BM56" s="36">
        <f t="shared" si="114"/>
        <v>0.0328763187699637</v>
      </c>
      <c r="BN56" s="35">
        <f>BN57+BN58</f>
        <v>51852.3173310767</v>
      </c>
      <c r="BO56" s="36">
        <f t="shared" si="115"/>
        <v>0.0426878844266279</v>
      </c>
      <c r="BP56" s="35">
        <f>BP57+BP58</f>
        <v>51761.015500546</v>
      </c>
      <c r="BQ56" s="36">
        <f t="shared" si="116"/>
        <v>0.0452626490955632</v>
      </c>
      <c r="BR56" s="35">
        <f>BR57+BR58</f>
        <v>53748.7492722434</v>
      </c>
      <c r="BS56" s="36">
        <f t="shared" si="117"/>
        <v>0.00947716384021469</v>
      </c>
      <c r="BT56" s="35">
        <f>BT57+BT58</f>
        <v>58956.455318271</v>
      </c>
      <c r="BU56" s="36">
        <f t="shared" si="118"/>
        <v>0.0506588445497387</v>
      </c>
      <c r="BV56" s="35">
        <f t="shared" si="119"/>
        <v>580133.053699964</v>
      </c>
      <c r="BW56" s="36">
        <f t="shared" si="120"/>
        <v>0.0782949239793542</v>
      </c>
      <c r="BX56" s="36"/>
      <c r="BY56" s="41">
        <f>BY57+BY58</f>
        <v>29796.1700207729</v>
      </c>
      <c r="BZ56" s="721">
        <f t="shared" si="121"/>
        <v>-0.119397774068568</v>
      </c>
      <c r="CA56" s="41">
        <f>CA57+CA58</f>
        <v>35298.3916363811</v>
      </c>
      <c r="CB56" s="721">
        <f t="shared" si="122"/>
        <v>0.518049021392007</v>
      </c>
      <c r="CC56" s="41">
        <f>SUM(CC57:CC58)</f>
        <v>43446.7692805112</v>
      </c>
      <c r="CD56" s="721">
        <f t="shared" si="123"/>
        <v>0.190005074025555</v>
      </c>
      <c r="CE56" s="41">
        <v>43067.3346997639</v>
      </c>
      <c r="CF56" s="721">
        <f t="shared" si="124"/>
        <v>0.151354255140679</v>
      </c>
      <c r="CG56" s="41">
        <v>43812.5602720451</v>
      </c>
      <c r="CH56" s="721">
        <f t="shared" si="125"/>
        <v>0.12241166835836</v>
      </c>
      <c r="CI56" s="41">
        <f>CI57+CI58</f>
        <v>42770.4932345893</v>
      </c>
      <c r="CJ56" s="721">
        <f t="shared" si="126"/>
        <v>0.201058232860345</v>
      </c>
      <c r="CK56" s="41">
        <f>CK57+CK58</f>
        <v>42960.269130728</v>
      </c>
      <c r="CL56" s="721">
        <f t="shared" si="127"/>
        <v>0.167040242217234</v>
      </c>
      <c r="CM56" s="41">
        <v>48250.6037874553</v>
      </c>
      <c r="CN56" s="721">
        <f t="shared" si="128"/>
        <v>0.279688472266498</v>
      </c>
      <c r="CO56" s="41">
        <f>SUM(CO57:CO58)</f>
        <v>49729.4714032188</v>
      </c>
      <c r="CP56" s="721">
        <f t="shared" si="129"/>
        <v>0.182004296354481</v>
      </c>
      <c r="CQ56" s="41">
        <f>SUM(CQ57:CQ58)</f>
        <v>49519.6260435914</v>
      </c>
      <c r="CR56" s="721">
        <f t="shared" si="130"/>
        <v>0.165279258858184</v>
      </c>
      <c r="CS56" s="41">
        <f>CS57+CS58</f>
        <v>53244.145779162</v>
      </c>
      <c r="CT56" s="721">
        <f t="shared" si="131"/>
        <v>0.147600549372932</v>
      </c>
      <c r="CU56" s="41">
        <f>CU57+CU58</f>
        <v>56113.7952857922</v>
      </c>
      <c r="CV56" s="721">
        <f t="shared" si="132"/>
        <v>0.209451693796878</v>
      </c>
      <c r="CW56" s="41">
        <f t="shared" si="133"/>
        <v>538009.630574011</v>
      </c>
      <c r="CX56" s="721">
        <f t="shared" si="134"/>
        <v>0.176376069955046</v>
      </c>
      <c r="CY56" s="721"/>
      <c r="CZ56" s="721">
        <f t="shared" si="135"/>
        <v>0.0538960568272142</v>
      </c>
      <c r="DA56" s="721">
        <f t="shared" si="136"/>
        <v>0.0752130020588597</v>
      </c>
      <c r="DB56" s="721"/>
      <c r="DC56" s="721"/>
      <c r="DD56" s="721"/>
      <c r="DE56" s="721"/>
      <c r="DF56" s="721"/>
      <c r="DG56" s="721"/>
      <c r="DH56" s="721"/>
      <c r="DI56" s="721"/>
      <c r="DJ56" s="721"/>
      <c r="DK56" s="721"/>
      <c r="DM56" s="41">
        <v>33836.1284395538</v>
      </c>
      <c r="DN56" s="41">
        <v>23252.4715203291</v>
      </c>
      <c r="DO56" s="41">
        <v>36509.7344783071</v>
      </c>
      <c r="DP56" s="41">
        <v>37405.8066902282</v>
      </c>
      <c r="DQ56" s="41">
        <v>39034.3057784898</v>
      </c>
      <c r="DR56" s="41">
        <v>35610.6740409501</v>
      </c>
      <c r="DS56" s="41">
        <v>36811.3005675869</v>
      </c>
      <c r="DT56" s="41">
        <v>37704.9608816098</v>
      </c>
      <c r="DU56" s="41">
        <v>42072.1579072036</v>
      </c>
      <c r="DV56" s="41">
        <v>42495.9301962638</v>
      </c>
      <c r="DW56" s="41">
        <v>46215.3972266722</v>
      </c>
      <c r="DX56" s="41">
        <v>46396.0615984852</v>
      </c>
      <c r="DY56" s="721">
        <v>0.035018768419824</v>
      </c>
      <c r="DZ56" s="41">
        <f t="shared" si="137"/>
        <v>457344.92932568</v>
      </c>
      <c r="EA56" s="36">
        <f t="shared" si="138"/>
        <v>-0.0334392683338974</v>
      </c>
      <c r="EB56" s="36"/>
      <c r="EC56" s="737">
        <f t="shared" ref="EC56:EN56" si="143">EC57+EC58</f>
        <v>42790.0773719721</v>
      </c>
      <c r="ED56" s="737">
        <f t="shared" si="143"/>
        <v>20908.7224677438</v>
      </c>
      <c r="EE56" s="737">
        <f t="shared" si="143"/>
        <v>34026.1949254408</v>
      </c>
      <c r="EF56" s="737">
        <f t="shared" si="143"/>
        <v>41609.4535573499</v>
      </c>
      <c r="EG56" s="737">
        <f t="shared" si="143"/>
        <v>41342.0541096034</v>
      </c>
      <c r="EH56" s="737">
        <f t="shared" si="143"/>
        <v>42721.5300500061</v>
      </c>
      <c r="EI56" s="737">
        <f t="shared" si="143"/>
        <v>38895.8631967257</v>
      </c>
      <c r="EJ56" s="737">
        <f t="shared" si="143"/>
        <v>39261.4202061093</v>
      </c>
      <c r="EK56" s="737">
        <f t="shared" si="143"/>
        <v>42893.748578873</v>
      </c>
      <c r="EL56" s="737">
        <f t="shared" si="143"/>
        <v>37948.3252646206</v>
      </c>
      <c r="EM56" s="50">
        <f t="shared" si="143"/>
        <v>45943.6080398946</v>
      </c>
      <c r="EN56" s="50">
        <f t="shared" si="143"/>
        <v>44826.2997871224</v>
      </c>
      <c r="EO56" s="724">
        <f t="shared" si="139"/>
        <v>473167.297555462</v>
      </c>
      <c r="EP56" s="36"/>
      <c r="EQ56" s="738"/>
    </row>
    <row r="57" ht="27" customHeight="1" spans="1:147">
      <c r="A57" s="45"/>
      <c r="B57" s="707" t="s">
        <v>92</v>
      </c>
      <c r="C57" s="35">
        <v>27206.8833</v>
      </c>
      <c r="D57" s="36">
        <f t="shared" si="83"/>
        <v>0.208354754367166</v>
      </c>
      <c r="E57" s="35">
        <v>22434.0131</v>
      </c>
      <c r="F57" s="36">
        <f t="shared" si="84"/>
        <v>0.0656997933510786</v>
      </c>
      <c r="G57" s="35">
        <v>29734.68</v>
      </c>
      <c r="H57" s="36">
        <f t="shared" si="85"/>
        <v>0.157006813923228</v>
      </c>
      <c r="I57" s="35">
        <v>30536.9655</v>
      </c>
      <c r="J57" s="36">
        <f t="shared" si="86"/>
        <v>0.144358197164285</v>
      </c>
      <c r="K57" s="35">
        <v>31326.6769</v>
      </c>
      <c r="L57" s="36">
        <f t="shared" si="87"/>
        <v>0.102680803888821</v>
      </c>
      <c r="M57" s="35">
        <v>31955.0984</v>
      </c>
      <c r="N57" s="36">
        <f t="shared" si="88"/>
        <v>0.113987939356336</v>
      </c>
      <c r="O57" s="35">
        <v>24880.036</v>
      </c>
      <c r="P57" s="36">
        <f t="shared" si="89"/>
        <v>-0.0723126922149567</v>
      </c>
      <c r="Q57" s="127"/>
      <c r="R57" s="127"/>
      <c r="S57" s="35">
        <f t="shared" si="90"/>
        <v>198074.3532</v>
      </c>
      <c r="T57" s="36">
        <f t="shared" si="91"/>
        <v>-0.0218187527448643</v>
      </c>
      <c r="U57" s="36"/>
      <c r="V57" s="35">
        <v>22515.6422</v>
      </c>
      <c r="W57" s="36">
        <f t="shared" si="92"/>
        <v>0.249362647625965</v>
      </c>
      <c r="X57" s="35">
        <v>21050.9688</v>
      </c>
      <c r="Y57" s="36">
        <f t="shared" si="93"/>
        <v>-0.000378993254649518</v>
      </c>
      <c r="Z57" s="35">
        <v>25699.6585</v>
      </c>
      <c r="AA57" s="36">
        <f t="shared" si="94"/>
        <v>0.118716883635766</v>
      </c>
      <c r="AB57" s="35">
        <v>26684.7964</v>
      </c>
      <c r="AC57" s="36">
        <f t="shared" si="95"/>
        <v>0.173907674204257</v>
      </c>
      <c r="AD57" s="35">
        <v>28409.5604</v>
      </c>
      <c r="AE57" s="36">
        <f t="shared" si="96"/>
        <v>0.26351969312639</v>
      </c>
      <c r="AF57" s="35">
        <v>28685.3181</v>
      </c>
      <c r="AG57" s="36">
        <f t="shared" si="97"/>
        <v>0.326701878552027</v>
      </c>
      <c r="AH57" s="35">
        <v>26819.4205</v>
      </c>
      <c r="AI57" s="36">
        <f t="shared" si="98"/>
        <v>0.28064625365703</v>
      </c>
      <c r="AJ57" s="35">
        <v>22627.1218</v>
      </c>
      <c r="AK57" s="36">
        <f t="shared" si="99"/>
        <v>0.125995652576432</v>
      </c>
      <c r="AL57" s="35">
        <v>24370.6154</v>
      </c>
      <c r="AM57" s="36">
        <f t="shared" si="100"/>
        <v>0.218545142739959</v>
      </c>
      <c r="AN57" s="35">
        <v>21526.0163</v>
      </c>
      <c r="AO57" s="36">
        <f t="shared" si="101"/>
        <v>0.071609069382204</v>
      </c>
      <c r="AP57" s="35">
        <v>23001.6784</v>
      </c>
      <c r="AQ57" s="36">
        <f t="shared" si="102"/>
        <v>0.179599129872193</v>
      </c>
      <c r="AR57" s="35">
        <v>23572.8276</v>
      </c>
      <c r="AS57" s="36">
        <f t="shared" si="103"/>
        <v>0.159518673406887</v>
      </c>
      <c r="AT57" s="35">
        <f t="shared" si="104"/>
        <v>294963.6244</v>
      </c>
      <c r="AU57" s="36">
        <f t="shared" si="105"/>
        <v>0.18058773892183</v>
      </c>
      <c r="AV57" s="36"/>
      <c r="AW57" s="35">
        <f t="shared" si="106"/>
        <v>229514.8909</v>
      </c>
      <c r="AX57" s="35">
        <v>18021.7027</v>
      </c>
      <c r="AY57" s="36">
        <f t="shared" si="107"/>
        <v>3.17034173971191</v>
      </c>
      <c r="AZ57" s="35">
        <v>21058.95</v>
      </c>
      <c r="BA57" s="36">
        <f t="shared" si="108"/>
        <v>3.73751742519242</v>
      </c>
      <c r="BB57" s="35">
        <v>22972.4418</v>
      </c>
      <c r="BC57" s="36">
        <f t="shared" si="109"/>
        <v>3.62254833782218</v>
      </c>
      <c r="BD57" s="35">
        <v>22731.5972</v>
      </c>
      <c r="BE57" s="36">
        <f t="shared" si="110"/>
        <v>3.86027191193062</v>
      </c>
      <c r="BF57" s="35">
        <v>22484.4619</v>
      </c>
      <c r="BG57" s="36">
        <f t="shared" si="111"/>
        <v>4.06408362115892</v>
      </c>
      <c r="BH57" s="35">
        <v>21621.5252</v>
      </c>
      <c r="BI57" s="36">
        <f t="shared" si="112"/>
        <v>3.55842348199183</v>
      </c>
      <c r="BJ57" s="35">
        <v>20942.0989</v>
      </c>
      <c r="BK57" s="36">
        <f t="shared" si="113"/>
        <v>3.98354711416814</v>
      </c>
      <c r="BL57" s="35">
        <v>20095.2124</v>
      </c>
      <c r="BM57" s="36">
        <f t="shared" si="114"/>
        <v>0.498726737137378</v>
      </c>
      <c r="BN57" s="35">
        <v>19999.7641</v>
      </c>
      <c r="BO57" s="36">
        <f t="shared" si="115"/>
        <v>0.329281791941909</v>
      </c>
      <c r="BP57" s="35">
        <v>20087.5645</v>
      </c>
      <c r="BQ57" s="36">
        <f t="shared" si="116"/>
        <v>0.323744018574361</v>
      </c>
      <c r="BR57" s="35">
        <v>19499.5722</v>
      </c>
      <c r="BS57" s="36">
        <f t="shared" si="117"/>
        <v>0.258892386297783</v>
      </c>
      <c r="BT57" s="35">
        <v>20329.8387</v>
      </c>
      <c r="BU57" s="36">
        <f t="shared" si="118"/>
        <v>0.181271343347142</v>
      </c>
      <c r="BV57" s="35">
        <f t="shared" si="119"/>
        <v>249844.7296</v>
      </c>
      <c r="BW57" s="36">
        <f t="shared" si="120"/>
        <v>1.31066441659836</v>
      </c>
      <c r="BX57" s="36"/>
      <c r="BY57" s="50">
        <v>4321.3971</v>
      </c>
      <c r="BZ57" s="721">
        <f t="shared" si="121"/>
        <v>0.212797188342781</v>
      </c>
      <c r="CA57" s="50">
        <v>4445.1446</v>
      </c>
      <c r="CB57" s="721">
        <f t="shared" si="122"/>
        <v>0.272385338910923</v>
      </c>
      <c r="CC57" s="41">
        <v>4969.6488</v>
      </c>
      <c r="CD57" s="721">
        <f t="shared" si="123"/>
        <v>0.551990742111364</v>
      </c>
      <c r="CE57" s="41">
        <v>4677.0217</v>
      </c>
      <c r="CF57" s="721">
        <f t="shared" si="124"/>
        <v>0.266787380624397</v>
      </c>
      <c r="CG57" s="41">
        <v>4439.9863</v>
      </c>
      <c r="CH57" s="721">
        <f t="shared" si="125"/>
        <v>0.349019695657179</v>
      </c>
      <c r="CI57" s="702">
        <v>4743.2024</v>
      </c>
      <c r="CJ57" s="721">
        <f t="shared" si="126"/>
        <v>0.25307844433</v>
      </c>
      <c r="CK57" s="702">
        <v>4202.2476</v>
      </c>
      <c r="CL57" s="721">
        <f t="shared" si="127"/>
        <v>0.0559744289322961</v>
      </c>
      <c r="CM57" s="41">
        <v>13408.1897</v>
      </c>
      <c r="CN57" s="721">
        <f t="shared" si="128"/>
        <v>3.15311473002968</v>
      </c>
      <c r="CO57" s="702">
        <v>15045.5413</v>
      </c>
      <c r="CP57" s="721">
        <f t="shared" si="129"/>
        <v>3.49347871710288</v>
      </c>
      <c r="CQ57" s="702">
        <v>15174.8104</v>
      </c>
      <c r="CR57" s="721">
        <f t="shared" si="130"/>
        <v>3.26920301662982</v>
      </c>
      <c r="CS57" s="50">
        <v>15489.4671</v>
      </c>
      <c r="CT57" s="721">
        <f t="shared" si="131"/>
        <v>3.24065888143613</v>
      </c>
      <c r="CU57" s="50">
        <v>17210.1345</v>
      </c>
      <c r="CV57" s="721">
        <f t="shared" si="132"/>
        <v>3.71173793436285</v>
      </c>
      <c r="CW57" s="41">
        <f t="shared" si="133"/>
        <v>108126.7915</v>
      </c>
      <c r="CX57" s="721">
        <f t="shared" si="134"/>
        <v>1.54854534882942</v>
      </c>
      <c r="CY57" s="721"/>
      <c r="CZ57" s="721">
        <f t="shared" si="135"/>
        <v>0.111086287791011</v>
      </c>
      <c r="DA57" s="721">
        <f t="shared" si="136"/>
        <v>0.0207354617096236</v>
      </c>
      <c r="DB57" s="721"/>
      <c r="DC57" s="721"/>
      <c r="DD57" s="721"/>
      <c r="DE57" s="721"/>
      <c r="DF57" s="721"/>
      <c r="DG57" s="721"/>
      <c r="DH57" s="721"/>
      <c r="DI57" s="721"/>
      <c r="DJ57" s="721"/>
      <c r="DK57" s="721"/>
      <c r="DM57" s="50">
        <v>3563.1655</v>
      </c>
      <c r="DN57" s="50">
        <v>3493.5522</v>
      </c>
      <c r="DO57" s="41">
        <v>3202.1124</v>
      </c>
      <c r="DP57" s="41">
        <v>3692.0337</v>
      </c>
      <c r="DQ57" s="41">
        <v>3291.2687</v>
      </c>
      <c r="DR57" s="41">
        <v>3785.2398</v>
      </c>
      <c r="DS57" s="41">
        <v>3979.4975</v>
      </c>
      <c r="DT57" s="41">
        <v>3228.466</v>
      </c>
      <c r="DU57" s="41">
        <v>3348.3059</v>
      </c>
      <c r="DV57" s="41">
        <v>3554.4832</v>
      </c>
      <c r="DW57" s="41">
        <v>3636.1323</v>
      </c>
      <c r="DX57" s="41">
        <v>3652.6086</v>
      </c>
      <c r="DY57" s="721">
        <v>-0.0910289577245348</v>
      </c>
      <c r="DZ57" s="41">
        <f t="shared" si="137"/>
        <v>42426.8658</v>
      </c>
      <c r="EA57" s="36">
        <f t="shared" si="138"/>
        <v>-0.0959623277763713</v>
      </c>
      <c r="EB57" s="36"/>
      <c r="EC57" s="737">
        <v>4175.31073</v>
      </c>
      <c r="ED57" s="737">
        <v>3278.27542</v>
      </c>
      <c r="EE57" s="737">
        <v>3973.27684</v>
      </c>
      <c r="EF57" s="737">
        <v>4105.23666</v>
      </c>
      <c r="EG57" s="737">
        <v>4373.2455</v>
      </c>
      <c r="EH57" s="737">
        <v>4206.6482</v>
      </c>
      <c r="EI57" s="737">
        <v>4122.1513</v>
      </c>
      <c r="EJ57" s="737">
        <v>3396.4734</v>
      </c>
      <c r="EK57" s="737">
        <v>3495.0074</v>
      </c>
      <c r="EL57" s="737">
        <v>3990.739</v>
      </c>
      <c r="EM57" s="737">
        <v>3795.6542</v>
      </c>
      <c r="EN57" s="737">
        <v>4018.3993</v>
      </c>
      <c r="EO57" s="717">
        <f t="shared" si="139"/>
        <v>46930.41795</v>
      </c>
      <c r="EP57" s="36"/>
      <c r="EQ57" s="740">
        <f>SUM(EC57:EN57)</f>
        <v>46930.41795</v>
      </c>
    </row>
    <row r="58" ht="27" customHeight="1" spans="1:147">
      <c r="A58" s="29"/>
      <c r="B58" s="707" t="s">
        <v>93</v>
      </c>
      <c r="C58" s="35">
        <v>22210.5330738223</v>
      </c>
      <c r="D58" s="36">
        <f t="shared" si="83"/>
        <v>0.0270507696544753</v>
      </c>
      <c r="E58" s="35">
        <v>12353.3832823102</v>
      </c>
      <c r="F58" s="36">
        <f t="shared" si="84"/>
        <v>-0.40044413316117</v>
      </c>
      <c r="G58" s="35">
        <v>22210.8683963498</v>
      </c>
      <c r="H58" s="36">
        <f t="shared" si="85"/>
        <v>-0.227073983174061</v>
      </c>
      <c r="I58" s="35">
        <v>23479.7821927047</v>
      </c>
      <c r="J58" s="36">
        <f t="shared" si="86"/>
        <v>-0.175769239667803</v>
      </c>
      <c r="K58" s="35">
        <v>22285.9745740861</v>
      </c>
      <c r="L58" s="36">
        <f t="shared" si="87"/>
        <v>-0.171122090950779</v>
      </c>
      <c r="M58" s="35">
        <v>18847.94350423</v>
      </c>
      <c r="N58" s="36">
        <f t="shared" si="88"/>
        <v>-0.149314414965895</v>
      </c>
      <c r="O58" s="35">
        <v>24056.5612472223</v>
      </c>
      <c r="P58" s="36">
        <f t="shared" si="89"/>
        <v>0.0112013861026885</v>
      </c>
      <c r="Q58" s="127"/>
      <c r="R58" s="127"/>
      <c r="S58" s="35">
        <f t="shared" si="90"/>
        <v>145445.046270725</v>
      </c>
      <c r="T58" s="36">
        <f t="shared" si="91"/>
        <v>-0.279046599584391</v>
      </c>
      <c r="U58" s="36"/>
      <c r="V58" s="35">
        <v>21625.5454258551</v>
      </c>
      <c r="W58" s="36">
        <f t="shared" si="92"/>
        <v>-0.185281252634602</v>
      </c>
      <c r="X58" s="35">
        <v>20604.2238356263</v>
      </c>
      <c r="Y58" s="36">
        <f t="shared" si="93"/>
        <v>1.48818743812863</v>
      </c>
      <c r="Z58" s="35">
        <v>28736.085877352</v>
      </c>
      <c r="AA58" s="36">
        <f t="shared" si="94"/>
        <v>0.118346934901979</v>
      </c>
      <c r="AB58" s="35">
        <v>28486.9035744813</v>
      </c>
      <c r="AC58" s="36">
        <f t="shared" si="95"/>
        <v>0.0580749715554041</v>
      </c>
      <c r="AD58" s="35">
        <v>26886.920655962</v>
      </c>
      <c r="AE58" s="36">
        <f t="shared" si="96"/>
        <v>-0.0119155920446437</v>
      </c>
      <c r="AF58" s="35">
        <v>22156.1806568926</v>
      </c>
      <c r="AG58" s="36">
        <f t="shared" si="97"/>
        <v>-0.0601017471013342</v>
      </c>
      <c r="AH58" s="35">
        <v>23790.0793826437</v>
      </c>
      <c r="AI58" s="36">
        <f t="shared" si="98"/>
        <v>-0.0820968652816176</v>
      </c>
      <c r="AJ58" s="35">
        <v>29453.9319710578</v>
      </c>
      <c r="AK58" s="36">
        <f t="shared" si="99"/>
        <v>-0.00967536183544482</v>
      </c>
      <c r="AL58" s="35">
        <v>30945.0684463489</v>
      </c>
      <c r="AM58" s="36">
        <f t="shared" si="100"/>
        <v>-0.0284901740260627</v>
      </c>
      <c r="AN58" s="35">
        <v>29583.3928940534</v>
      </c>
      <c r="AO58" s="36">
        <f t="shared" si="101"/>
        <v>-0.0659876975974791</v>
      </c>
      <c r="AP58" s="35">
        <v>31169.5702805927</v>
      </c>
      <c r="AQ58" s="36">
        <f t="shared" si="102"/>
        <v>-0.0899176872236884</v>
      </c>
      <c r="AR58" s="35">
        <v>34241.622610292</v>
      </c>
      <c r="AS58" s="36">
        <f t="shared" si="103"/>
        <v>-0.113522601560315</v>
      </c>
      <c r="AT58" s="35">
        <f t="shared" si="104"/>
        <v>327679.525611158</v>
      </c>
      <c r="AU58" s="36">
        <f t="shared" si="105"/>
        <v>-0.00789854892968178</v>
      </c>
      <c r="AV58" s="36"/>
      <c r="AW58" s="35">
        <f t="shared" si="106"/>
        <v>291661.707481693</v>
      </c>
      <c r="AX58" s="35">
        <v>26543.5716261432</v>
      </c>
      <c r="AY58" s="36">
        <f t="shared" si="107"/>
        <v>0.0419551808643903</v>
      </c>
      <c r="AZ58" s="35">
        <v>8280.81659761242</v>
      </c>
      <c r="BA58" s="36">
        <f t="shared" si="108"/>
        <v>-0.73160631722658</v>
      </c>
      <c r="BB58" s="35">
        <v>25695.1443067805</v>
      </c>
      <c r="BC58" s="36">
        <f t="shared" si="109"/>
        <v>-0.332196796800447</v>
      </c>
      <c r="BD58" s="35">
        <v>26923.3318434937</v>
      </c>
      <c r="BE58" s="36">
        <f t="shared" si="110"/>
        <v>-0.298694651339277</v>
      </c>
      <c r="BF58" s="35">
        <v>27211.1577103004</v>
      </c>
      <c r="BG58" s="36">
        <f t="shared" si="111"/>
        <v>-0.308880396551656</v>
      </c>
      <c r="BH58" s="35">
        <v>23572.9565286056</v>
      </c>
      <c r="BI58" s="36">
        <f t="shared" si="112"/>
        <v>-0.38010423537288</v>
      </c>
      <c r="BJ58" s="35">
        <v>25917.8539464762</v>
      </c>
      <c r="BK58" s="36">
        <f t="shared" si="113"/>
        <v>-0.331290583913627</v>
      </c>
      <c r="BL58" s="35">
        <v>29741.6936184149</v>
      </c>
      <c r="BM58" s="36">
        <f t="shared" si="114"/>
        <v>-0.146394002902252</v>
      </c>
      <c r="BN58" s="35">
        <v>31852.5532310767</v>
      </c>
      <c r="BO58" s="36">
        <f t="shared" si="115"/>
        <v>-0.081633680604129</v>
      </c>
      <c r="BP58" s="35">
        <v>31673.451000546</v>
      </c>
      <c r="BQ58" s="36">
        <f t="shared" si="116"/>
        <v>-0.0777807244845079</v>
      </c>
      <c r="BR58" s="35">
        <v>34249.1770722434</v>
      </c>
      <c r="BS58" s="36">
        <f t="shared" si="117"/>
        <v>-0.0928494620947046</v>
      </c>
      <c r="BT58" s="35">
        <v>38626.616618271</v>
      </c>
      <c r="BU58" s="36">
        <f t="shared" si="118"/>
        <v>-0.00712128786662602</v>
      </c>
      <c r="BV58" s="35">
        <f t="shared" si="119"/>
        <v>330288.324099964</v>
      </c>
      <c r="BW58" s="36">
        <f t="shared" si="120"/>
        <v>-0.231678275849715</v>
      </c>
      <c r="BX58" s="36"/>
      <c r="BY58" s="50">
        <v>25474.7729207729</v>
      </c>
      <c r="BZ58" s="721">
        <f t="shared" si="121"/>
        <v>-0.158497535519119</v>
      </c>
      <c r="CA58" s="50">
        <v>30853.2470363811</v>
      </c>
      <c r="CB58" s="721">
        <f t="shared" si="122"/>
        <v>0.561484539523248</v>
      </c>
      <c r="CC58" s="41">
        <v>38477.1204805112</v>
      </c>
      <c r="CD58" s="721">
        <f t="shared" si="123"/>
        <v>0.155204667269566</v>
      </c>
      <c r="CE58" s="41">
        <v>38390.3129997639</v>
      </c>
      <c r="CF58" s="721">
        <f t="shared" si="124"/>
        <v>0.138713042022653</v>
      </c>
      <c r="CG58" s="41">
        <v>39372.5739720451</v>
      </c>
      <c r="CH58" s="721">
        <f t="shared" si="125"/>
        <v>0.101545285186176</v>
      </c>
      <c r="CI58" s="50">
        <v>38027.2908345893</v>
      </c>
      <c r="CJ58" s="721">
        <f t="shared" si="126"/>
        <v>0.194871075338203</v>
      </c>
      <c r="CK58" s="702">
        <v>38758.021530728</v>
      </c>
      <c r="CL58" s="721">
        <f t="shared" si="127"/>
        <v>0.180502376032821</v>
      </c>
      <c r="CM58" s="41">
        <v>34842.4140874553</v>
      </c>
      <c r="CN58" s="721">
        <f t="shared" si="128"/>
        <v>0.0106135849105904</v>
      </c>
      <c r="CO58" s="41">
        <v>34683.9301032188</v>
      </c>
      <c r="CP58" s="721">
        <f t="shared" si="129"/>
        <v>-0.104326447256158</v>
      </c>
      <c r="CQ58" s="41">
        <v>34344.8156435914</v>
      </c>
      <c r="CR58" s="721">
        <f t="shared" si="130"/>
        <v>-0.118039562143477</v>
      </c>
      <c r="CS58" s="41">
        <v>37754.678679162</v>
      </c>
      <c r="CT58" s="721">
        <f t="shared" si="131"/>
        <v>-0.116714349668942</v>
      </c>
      <c r="CU58" s="41">
        <v>38903.6607857922</v>
      </c>
      <c r="CV58" s="721">
        <f t="shared" si="132"/>
        <v>-0.0898334585375935</v>
      </c>
      <c r="CW58" s="41">
        <f t="shared" si="133"/>
        <v>429882.839074011</v>
      </c>
      <c r="CX58" s="721">
        <f t="shared" si="134"/>
        <v>0.0360668210517796</v>
      </c>
      <c r="CY58" s="721"/>
      <c r="CZ58" s="721">
        <f t="shared" si="135"/>
        <v>0.0304328402949527</v>
      </c>
      <c r="DA58" s="721">
        <f t="shared" si="136"/>
        <v>0.099283195197668</v>
      </c>
      <c r="DB58" s="721"/>
      <c r="DC58" s="721"/>
      <c r="DD58" s="721"/>
      <c r="DE58" s="721"/>
      <c r="DF58" s="721"/>
      <c r="DG58" s="721"/>
      <c r="DH58" s="721"/>
      <c r="DI58" s="721"/>
      <c r="DJ58" s="721"/>
      <c r="DK58" s="721"/>
      <c r="DL58" s="21"/>
      <c r="DM58" s="745">
        <v>30272.9629395538</v>
      </c>
      <c r="DN58" s="745">
        <v>19758.9193203291</v>
      </c>
      <c r="DO58" s="727">
        <v>33307.6220783071</v>
      </c>
      <c r="DP58" s="727">
        <v>33713.7729902282</v>
      </c>
      <c r="DQ58" s="727">
        <v>35743.0370784898</v>
      </c>
      <c r="DR58" s="727">
        <v>31825.4342409501</v>
      </c>
      <c r="DS58" s="727">
        <v>32831.8030675869</v>
      </c>
      <c r="DT58" s="727">
        <v>34476.4948816098</v>
      </c>
      <c r="DU58" s="727">
        <v>38723.8520072036</v>
      </c>
      <c r="DV58" s="727">
        <v>38941.4469962638</v>
      </c>
      <c r="DW58" s="727">
        <v>42579.2649266722</v>
      </c>
      <c r="DX58" s="727">
        <v>42743.4529984852</v>
      </c>
      <c r="DY58" s="728">
        <v>0.047430828056779</v>
      </c>
      <c r="DZ58" s="727">
        <f t="shared" si="137"/>
        <v>414918.06352568</v>
      </c>
      <c r="EA58" s="729">
        <f t="shared" si="138"/>
        <v>-0.0265552246212462</v>
      </c>
      <c r="EB58" s="741"/>
      <c r="EC58" s="737">
        <v>38614.7666419721</v>
      </c>
      <c r="ED58" s="737">
        <v>17630.4470477438</v>
      </c>
      <c r="EE58" s="737">
        <v>30052.9180854408</v>
      </c>
      <c r="EF58" s="737">
        <v>37504.2168973499</v>
      </c>
      <c r="EG58" s="737">
        <v>36968.8086096034</v>
      </c>
      <c r="EH58" s="737">
        <v>38514.8818500061</v>
      </c>
      <c r="EI58" s="737">
        <v>34773.7118967257</v>
      </c>
      <c r="EJ58" s="737">
        <v>35864.9468061093</v>
      </c>
      <c r="EK58" s="737">
        <v>39398.741178873</v>
      </c>
      <c r="EL58" s="737">
        <v>33957.5862646206</v>
      </c>
      <c r="EM58" s="737">
        <v>42147.9538398946</v>
      </c>
      <c r="EN58" s="737">
        <v>40807.9004871224</v>
      </c>
      <c r="EO58" s="717">
        <f t="shared" si="139"/>
        <v>426236.879605462</v>
      </c>
      <c r="EP58" s="36"/>
      <c r="EQ58" s="740">
        <f>SUM(EC58:EN58)</f>
        <v>426236.879605462</v>
      </c>
    </row>
    <row r="59" s="206" customFormat="1" ht="27" customHeight="1" spans="1:147">
      <c r="A59" s="707" t="s">
        <v>101</v>
      </c>
      <c r="B59" s="707" t="s">
        <v>88</v>
      </c>
      <c r="C59" s="35">
        <v>1079.45582683139</v>
      </c>
      <c r="D59" s="36">
        <f t="shared" si="83"/>
        <v>0.283398536547327</v>
      </c>
      <c r="E59" s="35">
        <v>673.444239888675</v>
      </c>
      <c r="F59" s="36">
        <f t="shared" si="84"/>
        <v>-0.109460081920942</v>
      </c>
      <c r="G59" s="35">
        <v>998.984576519631</v>
      </c>
      <c r="H59" s="36">
        <f t="shared" si="85"/>
        <v>0.00125080534035704</v>
      </c>
      <c r="I59" s="35">
        <v>1070.03170653144</v>
      </c>
      <c r="J59" s="36">
        <f t="shared" si="86"/>
        <v>0.0261666592321406</v>
      </c>
      <c r="K59" s="35">
        <v>1087.30545627533</v>
      </c>
      <c r="L59" s="36">
        <f t="shared" si="87"/>
        <v>0.0674504554967612</v>
      </c>
      <c r="M59" s="35">
        <v>1040.59712339956</v>
      </c>
      <c r="N59" s="36">
        <f t="shared" si="88"/>
        <v>0.0766715023229096</v>
      </c>
      <c r="O59" s="35">
        <v>1014.81870521625</v>
      </c>
      <c r="P59" s="36">
        <f t="shared" si="89"/>
        <v>0.0485281578296008</v>
      </c>
      <c r="Q59" s="127"/>
      <c r="R59" s="127"/>
      <c r="S59" s="35">
        <f t="shared" si="90"/>
        <v>6964.63763466228</v>
      </c>
      <c r="T59" s="36">
        <f t="shared" si="91"/>
        <v>-0.0763150728429484</v>
      </c>
      <c r="U59" s="36"/>
      <c r="V59" s="35">
        <v>841.091676585049</v>
      </c>
      <c r="W59" s="36">
        <f t="shared" si="92"/>
        <v>-0.0862513933527312</v>
      </c>
      <c r="X59" s="35">
        <v>756.220160620458</v>
      </c>
      <c r="Y59" s="36">
        <f t="shared" si="93"/>
        <v>0.565046197800227</v>
      </c>
      <c r="Z59" s="35">
        <v>997.736602249268</v>
      </c>
      <c r="AA59" s="36">
        <f t="shared" si="94"/>
        <v>0.0749773625686507</v>
      </c>
      <c r="AB59" s="35">
        <v>1042.74651383833</v>
      </c>
      <c r="AC59" s="36">
        <f t="shared" si="95"/>
        <v>0.0839841452193464</v>
      </c>
      <c r="AD59" s="35">
        <v>1018.60039562148</v>
      </c>
      <c r="AE59" s="36">
        <f t="shared" si="96"/>
        <v>0.0627535399904828</v>
      </c>
      <c r="AF59" s="35">
        <v>966.49453538473</v>
      </c>
      <c r="AG59" s="36">
        <f t="shared" si="97"/>
        <v>0.0808918862697445</v>
      </c>
      <c r="AH59" s="35">
        <v>967.850693983147</v>
      </c>
      <c r="AI59" s="36">
        <f t="shared" si="98"/>
        <v>0.0430971344281015</v>
      </c>
      <c r="AJ59" s="35">
        <v>949.317107944238</v>
      </c>
      <c r="AK59" s="36">
        <f t="shared" si="99"/>
        <v>0.0134905608232141</v>
      </c>
      <c r="AL59" s="35">
        <v>1031.4484048259</v>
      </c>
      <c r="AM59" s="36">
        <f t="shared" si="100"/>
        <v>0.0487151805895654</v>
      </c>
      <c r="AN59" s="35">
        <v>946.293926383094</v>
      </c>
      <c r="AO59" s="36">
        <f t="shared" si="101"/>
        <v>-0.0137336355229437</v>
      </c>
      <c r="AP59" s="35">
        <v>1057.26040909664</v>
      </c>
      <c r="AQ59" s="36">
        <f t="shared" si="102"/>
        <v>0.0516209168888888</v>
      </c>
      <c r="AR59" s="35">
        <v>1107.94905445983</v>
      </c>
      <c r="AS59" s="36">
        <f t="shared" si="103"/>
        <v>0.0739164207585206</v>
      </c>
      <c r="AT59" s="35">
        <f t="shared" si="104"/>
        <v>11683.0094809922</v>
      </c>
      <c r="AU59" s="36">
        <f t="shared" si="105"/>
        <v>0.0629612198812615</v>
      </c>
      <c r="AV59" s="36"/>
      <c r="AW59" s="35">
        <f t="shared" si="106"/>
        <v>9959.31234553971</v>
      </c>
      <c r="AX59" s="35">
        <v>920.484770610143</v>
      </c>
      <c r="AY59" s="36">
        <f t="shared" si="107"/>
        <v>0.705160069263778</v>
      </c>
      <c r="AZ59" s="35">
        <v>483.193506800869</v>
      </c>
      <c r="BA59" s="36">
        <f t="shared" si="108"/>
        <v>-0.282963667932119</v>
      </c>
      <c r="BB59" s="35">
        <v>928.146616841478</v>
      </c>
      <c r="BC59" s="36">
        <f t="shared" si="109"/>
        <v>0.0962261735185386</v>
      </c>
      <c r="BD59" s="35">
        <v>961.957348211332</v>
      </c>
      <c r="BE59" s="36">
        <f t="shared" si="110"/>
        <v>0.145160475342367</v>
      </c>
      <c r="BF59" s="35">
        <v>958.454013364756</v>
      </c>
      <c r="BG59" s="36">
        <f t="shared" si="111"/>
        <v>0.0818310089584859</v>
      </c>
      <c r="BH59" s="35">
        <v>894.163928568462</v>
      </c>
      <c r="BI59" s="36">
        <f t="shared" si="112"/>
        <v>-0.0013455728966163</v>
      </c>
      <c r="BJ59" s="35">
        <v>927.862479953787</v>
      </c>
      <c r="BK59" s="36">
        <f t="shared" si="113"/>
        <v>0.0348741921579894</v>
      </c>
      <c r="BL59" s="35">
        <v>936.680759190445</v>
      </c>
      <c r="BM59" s="36">
        <f t="shared" si="114"/>
        <v>0.0262549984990217</v>
      </c>
      <c r="BN59" s="35">
        <v>983.535304834666</v>
      </c>
      <c r="BO59" s="36">
        <f t="shared" si="115"/>
        <v>0.0515329574569241</v>
      </c>
      <c r="BP59" s="35">
        <v>959.470950715067</v>
      </c>
      <c r="BQ59" s="36">
        <f t="shared" si="116"/>
        <v>0.055903919242519</v>
      </c>
      <c r="BR59" s="35">
        <v>1005.3626664487</v>
      </c>
      <c r="BS59" s="36">
        <f t="shared" si="117"/>
        <v>0.0469752995487918</v>
      </c>
      <c r="BT59" s="35">
        <v>1031.69020702493</v>
      </c>
      <c r="BU59" s="36">
        <f t="shared" si="118"/>
        <v>0.125208320293931</v>
      </c>
      <c r="BV59" s="35">
        <f t="shared" si="119"/>
        <v>10991.0025525646</v>
      </c>
      <c r="BW59" s="36">
        <f t="shared" si="120"/>
        <v>0.0762641957499257</v>
      </c>
      <c r="BX59" s="36"/>
      <c r="BY59" s="41">
        <v>539.823085939124</v>
      </c>
      <c r="BZ59" s="721">
        <f t="shared" si="121"/>
        <v>-0.131268513675401</v>
      </c>
      <c r="CA59" s="41">
        <v>673.875904457134</v>
      </c>
      <c r="CB59" s="721">
        <f t="shared" si="122"/>
        <v>0.494045544633788</v>
      </c>
      <c r="CC59" s="41">
        <v>846.674380946791</v>
      </c>
      <c r="CD59" s="721">
        <f t="shared" si="123"/>
        <v>0.163966465197339</v>
      </c>
      <c r="CE59" s="41">
        <v>840.01969062348</v>
      </c>
      <c r="CF59" s="721">
        <f t="shared" si="124"/>
        <v>0.229624048033729</v>
      </c>
      <c r="CG59" s="41">
        <v>885.955389915742</v>
      </c>
      <c r="CH59" s="721">
        <f t="shared" si="125"/>
        <v>0.160972585087825</v>
      </c>
      <c r="CI59" s="702">
        <v>895.3687124404</v>
      </c>
      <c r="CJ59" s="721">
        <f t="shared" si="126"/>
        <v>0.219487159955544</v>
      </c>
      <c r="CK59" s="702">
        <v>896.594472047801</v>
      </c>
      <c r="CL59" s="721">
        <f t="shared" si="127"/>
        <v>0.19862729575064</v>
      </c>
      <c r="CM59" s="41">
        <v>912.717366113114</v>
      </c>
      <c r="CN59" s="721">
        <f t="shared" si="128"/>
        <v>0.267305764269162</v>
      </c>
      <c r="CO59" s="41">
        <v>935.334739496224</v>
      </c>
      <c r="CP59" s="721">
        <f t="shared" si="129"/>
        <v>0.0977307730884134</v>
      </c>
      <c r="CQ59" s="41">
        <v>908.672591539739</v>
      </c>
      <c r="CR59" s="721">
        <f t="shared" si="130"/>
        <v>0.153589752866657</v>
      </c>
      <c r="CS59" s="41">
        <v>960.254427092955</v>
      </c>
      <c r="CT59" s="721">
        <f t="shared" si="131"/>
        <v>0.195506373681253</v>
      </c>
      <c r="CU59" s="41">
        <v>916.888178320107</v>
      </c>
      <c r="CV59" s="721">
        <f t="shared" si="132"/>
        <v>0.141515863095908</v>
      </c>
      <c r="CW59" s="41">
        <f t="shared" si="133"/>
        <v>10212.1789389326</v>
      </c>
      <c r="CX59" s="721">
        <f t="shared" si="134"/>
        <v>0.171138736331936</v>
      </c>
      <c r="CY59" s="721"/>
      <c r="CZ59" s="721">
        <f t="shared" si="135"/>
        <v>-0.0451612068107132</v>
      </c>
      <c r="DA59" s="721">
        <f t="shared" si="136"/>
        <v>0.0567661400084831</v>
      </c>
      <c r="DB59" s="721"/>
      <c r="DC59" s="721"/>
      <c r="DD59" s="721"/>
      <c r="DE59" s="721"/>
      <c r="DF59" s="721"/>
      <c r="DG59" s="721"/>
      <c r="DH59" s="721"/>
      <c r="DI59" s="721"/>
      <c r="DJ59" s="721"/>
      <c r="DK59" s="721"/>
      <c r="DL59" s="222"/>
      <c r="DM59" s="731">
        <v>621.392334037517</v>
      </c>
      <c r="DN59" s="731">
        <v>451.041072260157</v>
      </c>
      <c r="DO59" s="731">
        <v>727.404445284638</v>
      </c>
      <c r="DP59" s="731">
        <v>683.151644575219</v>
      </c>
      <c r="DQ59" s="731">
        <v>763.114823980724</v>
      </c>
      <c r="DR59" s="731">
        <v>734.2174168304</v>
      </c>
      <c r="DS59" s="731">
        <v>748.017732639994</v>
      </c>
      <c r="DT59" s="731">
        <v>720.202962731307</v>
      </c>
      <c r="DU59" s="731">
        <v>852.06205604012</v>
      </c>
      <c r="DV59" s="731">
        <v>787.691282175226</v>
      </c>
      <c r="DW59" s="731">
        <v>828.355599396992</v>
      </c>
      <c r="DX59" s="731">
        <v>803.219830720015</v>
      </c>
      <c r="DY59" s="732">
        <v>-0.0766219111362048</v>
      </c>
      <c r="DZ59" s="731">
        <f t="shared" si="137"/>
        <v>8719.87120067231</v>
      </c>
      <c r="EA59" s="733">
        <f t="shared" si="138"/>
        <v>-0.0859959468559499</v>
      </c>
      <c r="EB59" s="743"/>
      <c r="EC59" s="35">
        <v>863.83395281334</v>
      </c>
      <c r="ED59" s="50">
        <v>365.451962785108</v>
      </c>
      <c r="EE59" s="50">
        <v>665.124626316462</v>
      </c>
      <c r="EF59" s="50">
        <v>820.744624176171</v>
      </c>
      <c r="EG59" s="50">
        <v>888.461822412801</v>
      </c>
      <c r="EH59" s="50">
        <v>961.32073200463</v>
      </c>
      <c r="EI59" s="50">
        <v>838.80013792238</v>
      </c>
      <c r="EJ59" s="50">
        <v>690.831871881891</v>
      </c>
      <c r="EK59" s="50">
        <v>871.680552762951</v>
      </c>
      <c r="EL59" s="50">
        <v>816.754033142878</v>
      </c>
      <c r="EM59" s="50">
        <v>887.422849405895</v>
      </c>
      <c r="EN59" s="50">
        <v>869.871009943897</v>
      </c>
      <c r="EO59" s="724">
        <f t="shared" si="139"/>
        <v>9540.2981755684</v>
      </c>
      <c r="EP59" s="36"/>
      <c r="EQ59" s="740">
        <f>SUM(EC59:EN59)</f>
        <v>9540.2981755684</v>
      </c>
    </row>
    <row r="60" s="206" customFormat="1" ht="27" customHeight="1" spans="1:147">
      <c r="A60" s="45"/>
      <c r="B60" s="707" t="s">
        <v>89</v>
      </c>
      <c r="C60" s="35">
        <v>167.6765</v>
      </c>
      <c r="D60" s="36">
        <f t="shared" si="83"/>
        <v>0.0344449983096144</v>
      </c>
      <c r="E60" s="35">
        <v>152.3272</v>
      </c>
      <c r="F60" s="36">
        <f t="shared" si="84"/>
        <v>0.00348488980765249</v>
      </c>
      <c r="G60" s="35">
        <v>183.8954</v>
      </c>
      <c r="H60" s="36">
        <f t="shared" si="85"/>
        <v>0.102859349830459</v>
      </c>
      <c r="I60" s="35">
        <v>174.6558</v>
      </c>
      <c r="J60" s="36">
        <f t="shared" si="86"/>
        <v>0.0330023380032283</v>
      </c>
      <c r="K60" s="35">
        <v>175.3466</v>
      </c>
      <c r="L60" s="36">
        <f t="shared" si="87"/>
        <v>0.0802146548574871</v>
      </c>
      <c r="M60" s="35">
        <v>167.1798</v>
      </c>
      <c r="N60" s="36">
        <f t="shared" si="88"/>
        <v>-0.11495957279993</v>
      </c>
      <c r="O60" s="35">
        <v>145.222</v>
      </c>
      <c r="P60" s="36">
        <f t="shared" si="89"/>
        <v>0.0834972260107378</v>
      </c>
      <c r="Q60" s="127"/>
      <c r="R60" s="127"/>
      <c r="S60" s="35">
        <f t="shared" si="90"/>
        <v>1166.3033</v>
      </c>
      <c r="T60" s="36">
        <f t="shared" si="91"/>
        <v>-0.0703081182923754</v>
      </c>
      <c r="U60" s="36"/>
      <c r="V60" s="35">
        <v>162.0932</v>
      </c>
      <c r="W60" s="36">
        <f t="shared" si="92"/>
        <v>-0.117776594899326</v>
      </c>
      <c r="X60" s="35">
        <v>151.7982</v>
      </c>
      <c r="Y60" s="36">
        <f t="shared" si="93"/>
        <v>0.186559359156548</v>
      </c>
      <c r="Z60" s="35">
        <v>166.7442</v>
      </c>
      <c r="AA60" s="36">
        <f t="shared" si="94"/>
        <v>0.207999808741804</v>
      </c>
      <c r="AB60" s="35">
        <v>169.0759</v>
      </c>
      <c r="AC60" s="36">
        <f t="shared" si="95"/>
        <v>0.265583643723726</v>
      </c>
      <c r="AD60" s="35">
        <v>162.3257</v>
      </c>
      <c r="AE60" s="36">
        <f t="shared" si="96"/>
        <v>0.270929831978829</v>
      </c>
      <c r="AF60" s="35">
        <v>188.8951</v>
      </c>
      <c r="AG60" s="36">
        <f t="shared" si="97"/>
        <v>0.498942618924622</v>
      </c>
      <c r="AH60" s="35">
        <v>134.0308</v>
      </c>
      <c r="AI60" s="36">
        <f t="shared" si="98"/>
        <v>0.155638175235536</v>
      </c>
      <c r="AJ60" s="35">
        <v>119.5421</v>
      </c>
      <c r="AK60" s="36">
        <f t="shared" si="99"/>
        <v>0.0366569830464381</v>
      </c>
      <c r="AL60" s="35">
        <v>145.1047</v>
      </c>
      <c r="AM60" s="36">
        <f t="shared" si="100"/>
        <v>0.235327870596999</v>
      </c>
      <c r="AN60" s="35">
        <v>130.3128</v>
      </c>
      <c r="AO60" s="36">
        <f t="shared" si="101"/>
        <v>0.132684964584255</v>
      </c>
      <c r="AP60" s="35">
        <v>128.1263</v>
      </c>
      <c r="AQ60" s="36">
        <f t="shared" si="102"/>
        <v>0.0978844570272031</v>
      </c>
      <c r="AR60" s="35">
        <v>143.7508</v>
      </c>
      <c r="AS60" s="36">
        <f t="shared" si="103"/>
        <v>0.000911433582672094</v>
      </c>
      <c r="AT60" s="35">
        <f t="shared" si="104"/>
        <v>1801.7998</v>
      </c>
      <c r="AU60" s="36">
        <f t="shared" si="105"/>
        <v>0.154140702821675</v>
      </c>
      <c r="AV60" s="36"/>
      <c r="AW60" s="35">
        <f t="shared" si="106"/>
        <v>1417.5414</v>
      </c>
      <c r="AX60" s="35">
        <v>183.7326</v>
      </c>
      <c r="AY60" s="36">
        <f t="shared" si="107"/>
        <v>0.201709434132565</v>
      </c>
      <c r="AZ60" s="35">
        <v>127.9314</v>
      </c>
      <c r="BA60" s="36">
        <f t="shared" si="108"/>
        <v>-0.0119769358259283</v>
      </c>
      <c r="BB60" s="35">
        <v>138.0333</v>
      </c>
      <c r="BC60" s="36">
        <f t="shared" si="109"/>
        <v>-0.0451923196644315</v>
      </c>
      <c r="BD60" s="35">
        <v>133.5952</v>
      </c>
      <c r="BE60" s="36">
        <f t="shared" si="110"/>
        <v>-0.0593881156177458</v>
      </c>
      <c r="BF60" s="35">
        <v>127.722</v>
      </c>
      <c r="BG60" s="36">
        <f t="shared" si="111"/>
        <v>-0.160605048909172</v>
      </c>
      <c r="BH60" s="35">
        <v>126.0189</v>
      </c>
      <c r="BI60" s="36">
        <f t="shared" si="112"/>
        <v>-0.178562256294463</v>
      </c>
      <c r="BJ60" s="35">
        <v>115.9799</v>
      </c>
      <c r="BK60" s="36">
        <f t="shared" si="113"/>
        <v>-0.276958084354963</v>
      </c>
      <c r="BL60" s="35">
        <v>115.315</v>
      </c>
      <c r="BM60" s="36">
        <f t="shared" si="114"/>
        <v>-0.216565347479068</v>
      </c>
      <c r="BN60" s="35">
        <v>117.4625</v>
      </c>
      <c r="BO60" s="36">
        <f t="shared" si="115"/>
        <v>-0.148952587684057</v>
      </c>
      <c r="BP60" s="35">
        <v>115.0477</v>
      </c>
      <c r="BQ60" s="36">
        <f t="shared" si="116"/>
        <v>-0.106307628968485</v>
      </c>
      <c r="BR60" s="35">
        <v>116.7029</v>
      </c>
      <c r="BS60" s="36">
        <f t="shared" si="117"/>
        <v>-0.141663865682191</v>
      </c>
      <c r="BT60" s="35">
        <v>143.6199</v>
      </c>
      <c r="BU60" s="36">
        <f t="shared" si="118"/>
        <v>-0.119723670758526</v>
      </c>
      <c r="BV60" s="35">
        <f t="shared" si="119"/>
        <v>1561.1613</v>
      </c>
      <c r="BW60" s="36">
        <f t="shared" si="120"/>
        <v>-0.106893412592119</v>
      </c>
      <c r="BX60" s="36"/>
      <c r="BY60" s="41">
        <v>152.8927</v>
      </c>
      <c r="BZ60" s="721">
        <f t="shared" si="121"/>
        <v>2.27924923269625</v>
      </c>
      <c r="CA60" s="41">
        <v>129.4822</v>
      </c>
      <c r="CB60" s="721">
        <f t="shared" si="122"/>
        <v>4.99665623089606</v>
      </c>
      <c r="CC60" s="41">
        <v>144.5666</v>
      </c>
      <c r="CD60" s="721">
        <f t="shared" si="123"/>
        <v>3.01495820257172</v>
      </c>
      <c r="CE60" s="41">
        <v>142.0301</v>
      </c>
      <c r="CF60" s="721">
        <f t="shared" si="124"/>
        <v>3.66697663720304</v>
      </c>
      <c r="CG60" s="41">
        <v>152.1596</v>
      </c>
      <c r="CH60" s="721">
        <f t="shared" si="125"/>
        <v>4.99568133279744</v>
      </c>
      <c r="CI60" s="702">
        <v>153.4126</v>
      </c>
      <c r="CJ60" s="721">
        <f t="shared" si="126"/>
        <v>5.06038555739907</v>
      </c>
      <c r="CK60" s="702">
        <v>160.4055</v>
      </c>
      <c r="CL60" s="721">
        <f t="shared" si="127"/>
        <v>5.31746538116168</v>
      </c>
      <c r="CM60" s="41">
        <v>147.1916</v>
      </c>
      <c r="CN60" s="721">
        <f t="shared" si="128"/>
        <v>2.41204669578199</v>
      </c>
      <c r="CO60" s="41">
        <v>138.0211</v>
      </c>
      <c r="CP60" s="721">
        <f t="shared" si="129"/>
        <v>2.82081193682783</v>
      </c>
      <c r="CQ60" s="41">
        <v>128.733</v>
      </c>
      <c r="CR60" s="721">
        <f t="shared" si="130"/>
        <v>1.30978743560898</v>
      </c>
      <c r="CS60" s="41">
        <v>135.9641</v>
      </c>
      <c r="CT60" s="721">
        <f t="shared" si="131"/>
        <v>1.08256327073272</v>
      </c>
      <c r="CU60" s="41">
        <v>163.1532</v>
      </c>
      <c r="CV60" s="721">
        <f t="shared" si="132"/>
        <v>1.49901894560777</v>
      </c>
      <c r="CW60" s="41">
        <f t="shared" si="133"/>
        <v>1748.0123</v>
      </c>
      <c r="CX60" s="721">
        <f t="shared" si="134"/>
        <v>2.64684802305927</v>
      </c>
      <c r="CY60" s="721"/>
      <c r="CZ60" s="721">
        <f t="shared" si="135"/>
        <v>0.199972639836545</v>
      </c>
      <c r="DA60" s="721">
        <f t="shared" si="136"/>
        <v>0.0561713002881934</v>
      </c>
      <c r="DB60" s="721"/>
      <c r="DC60" s="721"/>
      <c r="DD60" s="721"/>
      <c r="DE60" s="721"/>
      <c r="DF60" s="721"/>
      <c r="DG60" s="721"/>
      <c r="DH60" s="721"/>
      <c r="DI60" s="721"/>
      <c r="DJ60" s="721"/>
      <c r="DK60" s="721"/>
      <c r="DL60" s="735" t="s">
        <v>101</v>
      </c>
      <c r="DM60" s="731">
        <v>46.6243</v>
      </c>
      <c r="DN60" s="731">
        <v>21.5924</v>
      </c>
      <c r="DO60" s="731">
        <v>36.007</v>
      </c>
      <c r="DP60" s="731">
        <v>30.433</v>
      </c>
      <c r="DQ60" s="731">
        <v>25.3782</v>
      </c>
      <c r="DR60" s="731">
        <v>25.314</v>
      </c>
      <c r="DS60" s="731">
        <v>25.3908</v>
      </c>
      <c r="DT60" s="731">
        <v>43.1388</v>
      </c>
      <c r="DU60" s="731">
        <v>36.1235</v>
      </c>
      <c r="DV60" s="731">
        <v>55.7337</v>
      </c>
      <c r="DW60" s="731">
        <v>68.2988</v>
      </c>
      <c r="DX60" s="731">
        <v>65.2869</v>
      </c>
      <c r="DY60" s="732">
        <v>0.562530514948735</v>
      </c>
      <c r="DZ60" s="731">
        <f t="shared" si="137"/>
        <v>479.3214</v>
      </c>
      <c r="EA60" s="733">
        <f t="shared" si="138"/>
        <v>0.0671508000657672</v>
      </c>
      <c r="EB60" s="733"/>
      <c r="EC60" s="35">
        <v>41.6604</v>
      </c>
      <c r="ED60" s="50">
        <v>22.4186</v>
      </c>
      <c r="EE60" s="50">
        <v>33.46229</v>
      </c>
      <c r="EF60" s="50">
        <v>37.93446</v>
      </c>
      <c r="EG60" s="50">
        <v>39.4837</v>
      </c>
      <c r="EH60" s="50">
        <v>38.8977</v>
      </c>
      <c r="EI60" s="50">
        <v>40.7162</v>
      </c>
      <c r="EJ60" s="50">
        <v>36.9917</v>
      </c>
      <c r="EK60" s="50">
        <v>39.1363</v>
      </c>
      <c r="EL60" s="50">
        <v>39.0789</v>
      </c>
      <c r="EM60" s="50">
        <v>37.5969</v>
      </c>
      <c r="EN60" s="50">
        <v>41.7828</v>
      </c>
      <c r="EO60" s="724">
        <f t="shared" si="139"/>
        <v>449.15995</v>
      </c>
      <c r="EP60" s="36"/>
      <c r="EQ60" s="740">
        <f>SUM(EC60:EN60)</f>
        <v>449.15995</v>
      </c>
    </row>
    <row r="61" s="206" customFormat="1" ht="27" customHeight="1" spans="1:147">
      <c r="A61" s="45"/>
      <c r="B61" s="707" t="s">
        <v>90</v>
      </c>
      <c r="C61" s="35">
        <v>911.77932683139</v>
      </c>
      <c r="D61" s="36">
        <f t="shared" si="83"/>
        <v>0.342829709157946</v>
      </c>
      <c r="E61" s="35">
        <v>521.117039888675</v>
      </c>
      <c r="F61" s="36">
        <f t="shared" si="84"/>
        <v>-0.137825767690949</v>
      </c>
      <c r="G61" s="35">
        <v>815.089176519631</v>
      </c>
      <c r="H61" s="36">
        <f t="shared" si="85"/>
        <v>-0.0191376307251322</v>
      </c>
      <c r="I61" s="35">
        <v>895.37590653144</v>
      </c>
      <c r="J61" s="36">
        <f t="shared" si="86"/>
        <v>0.0248437939302451</v>
      </c>
      <c r="K61" s="35">
        <v>911.95885627533</v>
      </c>
      <c r="L61" s="36">
        <f t="shared" si="87"/>
        <v>0.0650307207939091</v>
      </c>
      <c r="M61" s="35">
        <v>873.41732339956</v>
      </c>
      <c r="N61" s="36">
        <f t="shared" si="88"/>
        <v>0.123222682083639</v>
      </c>
      <c r="O61" s="35">
        <v>869.59670521625</v>
      </c>
      <c r="P61" s="36">
        <f t="shared" si="89"/>
        <v>0.0429071211796082</v>
      </c>
      <c r="Q61" s="127"/>
      <c r="R61" s="127"/>
      <c r="S61" s="35">
        <f t="shared" si="90"/>
        <v>5798.33433466228</v>
      </c>
      <c r="T61" s="36">
        <f t="shared" si="91"/>
        <v>-0.0775139739318136</v>
      </c>
      <c r="U61" s="36"/>
      <c r="V61" s="35">
        <v>678.998476585049</v>
      </c>
      <c r="W61" s="36">
        <f t="shared" si="92"/>
        <v>-0.0783895810951803</v>
      </c>
      <c r="X61" s="35">
        <v>604.421960620458</v>
      </c>
      <c r="Y61" s="36">
        <f t="shared" si="93"/>
        <v>0.701340922799987</v>
      </c>
      <c r="Z61" s="35">
        <v>830.992402249268</v>
      </c>
      <c r="AA61" s="36">
        <f t="shared" si="94"/>
        <v>0.0517382564455517</v>
      </c>
      <c r="AB61" s="35">
        <v>873.67061383833</v>
      </c>
      <c r="AC61" s="36">
        <f t="shared" si="95"/>
        <v>0.0546964461435517</v>
      </c>
      <c r="AD61" s="35">
        <v>856.27469562148</v>
      </c>
      <c r="AE61" s="36">
        <f t="shared" si="96"/>
        <v>0.0307471986703236</v>
      </c>
      <c r="AF61" s="35">
        <v>777.59943538473</v>
      </c>
      <c r="AG61" s="36">
        <f t="shared" si="97"/>
        <v>0.0123081012890074</v>
      </c>
      <c r="AH61" s="35">
        <v>833.819893983147</v>
      </c>
      <c r="AI61" s="36">
        <f t="shared" si="98"/>
        <v>0.0270203038850874</v>
      </c>
      <c r="AJ61" s="35">
        <v>829.775007944238</v>
      </c>
      <c r="AK61" s="36">
        <f t="shared" si="99"/>
        <v>0.0102381291887323</v>
      </c>
      <c r="AL61" s="35">
        <v>886.3437048259</v>
      </c>
      <c r="AM61" s="36">
        <f t="shared" si="100"/>
        <v>0.0234055380541636</v>
      </c>
      <c r="AN61" s="35">
        <v>815.981126383094</v>
      </c>
      <c r="AO61" s="36">
        <f t="shared" si="101"/>
        <v>-0.0336823083778046</v>
      </c>
      <c r="AP61" s="35">
        <v>929.13410909664</v>
      </c>
      <c r="AQ61" s="36">
        <f t="shared" si="102"/>
        <v>0.045545375379922</v>
      </c>
      <c r="AR61" s="35">
        <v>964.19825445983</v>
      </c>
      <c r="AS61" s="36">
        <f t="shared" si="103"/>
        <v>0.0857228834617065</v>
      </c>
      <c r="AT61" s="35">
        <f t="shared" si="104"/>
        <v>9881.20968099216</v>
      </c>
      <c r="AU61" s="36">
        <f t="shared" si="105"/>
        <v>0.0478659625690698</v>
      </c>
      <c r="AV61" s="36"/>
      <c r="AW61" s="35">
        <f t="shared" si="106"/>
        <v>8541.77094553971</v>
      </c>
      <c r="AX61" s="35">
        <v>736.752170610143</v>
      </c>
      <c r="AY61" s="36">
        <f t="shared" si="107"/>
        <v>0.904094889890753</v>
      </c>
      <c r="AZ61" s="35">
        <v>355.262106800869</v>
      </c>
      <c r="BA61" s="36">
        <f t="shared" si="108"/>
        <v>-0.347416944956896</v>
      </c>
      <c r="BB61" s="35">
        <v>790.113316841478</v>
      </c>
      <c r="BC61" s="36">
        <f t="shared" si="109"/>
        <v>0.125344766548537</v>
      </c>
      <c r="BD61" s="35">
        <v>828.362148211332</v>
      </c>
      <c r="BE61" s="36">
        <f t="shared" si="110"/>
        <v>0.186782953985599</v>
      </c>
      <c r="BF61" s="35">
        <v>830.732013364756</v>
      </c>
      <c r="BG61" s="36">
        <f t="shared" si="111"/>
        <v>0.132102452454987</v>
      </c>
      <c r="BH61" s="35">
        <v>768.145028568462</v>
      </c>
      <c r="BI61" s="36">
        <f t="shared" si="112"/>
        <v>0.0352971229550529</v>
      </c>
      <c r="BJ61" s="35">
        <v>811.882579953787</v>
      </c>
      <c r="BK61" s="36">
        <f t="shared" si="113"/>
        <v>0.102818176826847</v>
      </c>
      <c r="BL61" s="35">
        <v>821.365759190445</v>
      </c>
      <c r="BM61" s="36">
        <f t="shared" si="114"/>
        <v>0.0729433228104828</v>
      </c>
      <c r="BN61" s="35">
        <v>866.072804834666</v>
      </c>
      <c r="BO61" s="36">
        <f t="shared" si="115"/>
        <v>0.086238541437579</v>
      </c>
      <c r="BP61" s="35">
        <v>844.423250715067</v>
      </c>
      <c r="BQ61" s="36">
        <f t="shared" si="116"/>
        <v>0.0826777610404748</v>
      </c>
      <c r="BR61" s="35">
        <v>888.6597664487</v>
      </c>
      <c r="BS61" s="36">
        <f t="shared" si="117"/>
        <v>0.0780907372560811</v>
      </c>
      <c r="BT61" s="35">
        <v>888.07030702493</v>
      </c>
      <c r="BU61" s="36">
        <f t="shared" si="118"/>
        <v>0.178226210231379</v>
      </c>
      <c r="BV61" s="35">
        <f t="shared" si="119"/>
        <v>9429.84125256463</v>
      </c>
      <c r="BW61" s="36">
        <f t="shared" si="120"/>
        <v>0.114089745018749</v>
      </c>
      <c r="BX61" s="36"/>
      <c r="BY61" s="41">
        <v>386.930385939124</v>
      </c>
      <c r="BZ61" s="721">
        <f t="shared" si="121"/>
        <v>-0.326806010381107</v>
      </c>
      <c r="CA61" s="41">
        <v>544.393704457134</v>
      </c>
      <c r="CB61" s="721">
        <f t="shared" si="122"/>
        <v>0.267657207069775</v>
      </c>
      <c r="CC61" s="41">
        <v>702.107780946791</v>
      </c>
      <c r="CD61" s="721">
        <f t="shared" si="123"/>
        <v>0.0154908522373027</v>
      </c>
      <c r="CE61" s="41">
        <v>697.98959062348</v>
      </c>
      <c r="CF61" s="721">
        <f t="shared" si="124"/>
        <v>0.0693575193914104</v>
      </c>
      <c r="CG61" s="41">
        <v>733.795789915742</v>
      </c>
      <c r="CH61" s="721">
        <f t="shared" si="125"/>
        <v>-0.005341789924591</v>
      </c>
      <c r="CI61" s="702">
        <v>741.9561124404</v>
      </c>
      <c r="CJ61" s="721">
        <f t="shared" si="126"/>
        <v>0.0466251041048482</v>
      </c>
      <c r="CK61" s="702">
        <v>736.188972047801</v>
      </c>
      <c r="CL61" s="721">
        <f t="shared" si="127"/>
        <v>0.0187676915919262</v>
      </c>
      <c r="CM61" s="41">
        <v>765.525766113114</v>
      </c>
      <c r="CN61" s="721">
        <f t="shared" si="128"/>
        <v>0.130654682748159</v>
      </c>
      <c r="CO61" s="41">
        <v>797.313639496224</v>
      </c>
      <c r="CP61" s="721">
        <f t="shared" si="129"/>
        <v>-0.0228263714295911</v>
      </c>
      <c r="CQ61" s="41">
        <v>779.939591539739</v>
      </c>
      <c r="CR61" s="721">
        <f t="shared" si="130"/>
        <v>0.0655529917757263</v>
      </c>
      <c r="CS61" s="41">
        <v>824.290327092955</v>
      </c>
      <c r="CT61" s="721">
        <f t="shared" si="131"/>
        <v>0.117026077544309</v>
      </c>
      <c r="CU61" s="41">
        <v>753.734978320107</v>
      </c>
      <c r="CV61" s="721">
        <f t="shared" si="132"/>
        <v>0.0214139347117543</v>
      </c>
      <c r="CW61" s="41">
        <f t="shared" si="133"/>
        <v>8464.16663893261</v>
      </c>
      <c r="CX61" s="721">
        <f t="shared" si="134"/>
        <v>0.0271361551922249</v>
      </c>
      <c r="CY61" s="721"/>
      <c r="CZ61" s="721">
        <f t="shared" si="135"/>
        <v>-0.0855952647432818</v>
      </c>
      <c r="DA61" s="721">
        <f t="shared" si="136"/>
        <v>0.0568643213324505</v>
      </c>
      <c r="DB61" s="721"/>
      <c r="DC61" s="721"/>
      <c r="DD61" s="721"/>
      <c r="DE61" s="721"/>
      <c r="DF61" s="721"/>
      <c r="DG61" s="721"/>
      <c r="DH61" s="721"/>
      <c r="DI61" s="721"/>
      <c r="DJ61" s="721"/>
      <c r="DK61" s="721"/>
      <c r="DL61" s="206"/>
      <c r="DM61" s="731">
        <v>574.768034037517</v>
      </c>
      <c r="DN61" s="731">
        <v>429.448672260157</v>
      </c>
      <c r="DO61" s="731">
        <v>691.397445284638</v>
      </c>
      <c r="DP61" s="731">
        <v>652.718644575219</v>
      </c>
      <c r="DQ61" s="731">
        <v>737.736623980724</v>
      </c>
      <c r="DR61" s="731">
        <v>708.9034168304</v>
      </c>
      <c r="DS61" s="731">
        <v>722.626932639994</v>
      </c>
      <c r="DT61" s="731">
        <v>677.064162731307</v>
      </c>
      <c r="DU61" s="731">
        <v>815.93855604012</v>
      </c>
      <c r="DV61" s="731">
        <v>731.957582175226</v>
      </c>
      <c r="DW61" s="731">
        <v>760.056799396992</v>
      </c>
      <c r="DX61" s="731">
        <v>737.932930720015</v>
      </c>
      <c r="DY61" s="732">
        <v>-0.10887158896996</v>
      </c>
      <c r="DZ61" s="731">
        <f t="shared" si="137"/>
        <v>8240.54980067231</v>
      </c>
      <c r="EA61" s="733">
        <f t="shared" si="138"/>
        <v>-0.0935623685166125</v>
      </c>
      <c r="EB61" s="733"/>
      <c r="EC61" s="35">
        <v>822.17355281334</v>
      </c>
      <c r="ED61" s="50">
        <v>343.033362785108</v>
      </c>
      <c r="EE61" s="50">
        <v>631.662336316462</v>
      </c>
      <c r="EF61" s="50">
        <v>782.810164176171</v>
      </c>
      <c r="EG61" s="50">
        <v>848.978122412801</v>
      </c>
      <c r="EH61" s="50">
        <v>922.42303200463</v>
      </c>
      <c r="EI61" s="50">
        <v>798.08393792238</v>
      </c>
      <c r="EJ61" s="50">
        <v>653.840171881891</v>
      </c>
      <c r="EK61" s="50">
        <v>832.544252762951</v>
      </c>
      <c r="EL61" s="50">
        <v>777.675133142878</v>
      </c>
      <c r="EM61" s="50">
        <v>849.825949405895</v>
      </c>
      <c r="EN61" s="50">
        <v>828.088209943897</v>
      </c>
      <c r="EO61" s="724">
        <f t="shared" si="139"/>
        <v>9091.1382255684</v>
      </c>
      <c r="EP61" s="36"/>
      <c r="EQ61" s="740">
        <f>SUM(EC61:EN61)</f>
        <v>9091.1382255684</v>
      </c>
    </row>
    <row r="62" s="206" customFormat="1" ht="27" customHeight="1" spans="1:147">
      <c r="A62" s="45"/>
      <c r="B62" s="707" t="s">
        <v>91</v>
      </c>
      <c r="C62" s="35">
        <f>C63+C64</f>
        <v>178371.837202388</v>
      </c>
      <c r="D62" s="36">
        <f t="shared" si="83"/>
        <v>0.208586985804364</v>
      </c>
      <c r="E62" s="35">
        <f>E63+E64</f>
        <v>116958.728978179</v>
      </c>
      <c r="F62" s="36">
        <f t="shared" si="84"/>
        <v>-0.13528696338702</v>
      </c>
      <c r="G62" s="35">
        <f>G63+G64</f>
        <v>170168.095133987</v>
      </c>
      <c r="H62" s="36">
        <f t="shared" si="85"/>
        <v>-0.0158012815824918</v>
      </c>
      <c r="I62" s="35">
        <f>I63+I64</f>
        <v>173940.365125665</v>
      </c>
      <c r="J62" s="36">
        <f t="shared" si="86"/>
        <v>0.00830490573265341</v>
      </c>
      <c r="K62" s="35">
        <f>K63+K64</f>
        <v>174277.453495069</v>
      </c>
      <c r="L62" s="36">
        <f t="shared" si="87"/>
        <v>0.0134395005577055</v>
      </c>
      <c r="M62" s="35">
        <f>M63+M64</f>
        <v>165179.805451437</v>
      </c>
      <c r="N62" s="36">
        <f t="shared" si="88"/>
        <v>0.017766525686022</v>
      </c>
      <c r="O62" s="35">
        <f>O63+O64</f>
        <v>157449.939893287</v>
      </c>
      <c r="P62" s="36">
        <f t="shared" si="89"/>
        <v>0.0249974448357648</v>
      </c>
      <c r="Q62" s="127"/>
      <c r="R62" s="127"/>
      <c r="S62" s="35">
        <f t="shared" si="90"/>
        <v>1136346.22528001</v>
      </c>
      <c r="T62" s="36">
        <f t="shared" si="91"/>
        <v>-0.102159457880135</v>
      </c>
      <c r="U62" s="36"/>
      <c r="V62" s="35">
        <f>V63+V64</f>
        <v>147587.090790717</v>
      </c>
      <c r="W62" s="36">
        <f t="shared" si="92"/>
        <v>-0.132066283915262</v>
      </c>
      <c r="X62" s="35">
        <f>X63+X64</f>
        <v>135257.274987201</v>
      </c>
      <c r="Y62" s="36">
        <f t="shared" si="93"/>
        <v>0.457995103173612</v>
      </c>
      <c r="Z62" s="35">
        <f>Z63+Z64</f>
        <v>172900.138914629</v>
      </c>
      <c r="AA62" s="36">
        <f t="shared" si="94"/>
        <v>0.106764843716014</v>
      </c>
      <c r="AB62" s="35">
        <f>AB63+AB64</f>
        <v>172507.704898328</v>
      </c>
      <c r="AC62" s="36">
        <f t="shared" si="95"/>
        <v>0.0907959899392223</v>
      </c>
      <c r="AD62" s="35">
        <f>AD63+AD64</f>
        <v>171966.312147062</v>
      </c>
      <c r="AE62" s="36">
        <f t="shared" si="96"/>
        <v>0.104494690271007</v>
      </c>
      <c r="AF62" s="35">
        <f>AF63+AF64</f>
        <v>162296.362950332</v>
      </c>
      <c r="AG62" s="36">
        <f t="shared" si="97"/>
        <v>0.129693490771618</v>
      </c>
      <c r="AH62" s="35">
        <f>AH63+AH64</f>
        <v>153610.080382703</v>
      </c>
      <c r="AI62" s="36">
        <f t="shared" si="98"/>
        <v>0.0491303393133742</v>
      </c>
      <c r="AJ62" s="35">
        <f>AJ63+AJ64</f>
        <v>149518.73441827</v>
      </c>
      <c r="AK62" s="36">
        <f t="shared" si="99"/>
        <v>0.0177085394473764</v>
      </c>
      <c r="AL62" s="35">
        <f>AL63+AL64</f>
        <v>162721.434256694</v>
      </c>
      <c r="AM62" s="36">
        <f t="shared" si="100"/>
        <v>0.0494056678931156</v>
      </c>
      <c r="AN62" s="35">
        <f>AN63+AN64</f>
        <v>151172.800890181</v>
      </c>
      <c r="AO62" s="36">
        <f t="shared" si="101"/>
        <v>-0.0344946818552349</v>
      </c>
      <c r="AP62" s="35">
        <f>AP63+AP64</f>
        <v>164477.984836137</v>
      </c>
      <c r="AQ62" s="36">
        <f t="shared" si="102"/>
        <v>0.00137903573653619</v>
      </c>
      <c r="AR62" s="35">
        <f>AR63+AR64</f>
        <v>173615.902108403</v>
      </c>
      <c r="AS62" s="36">
        <f t="shared" si="103"/>
        <v>-0.00968600912970352</v>
      </c>
      <c r="AT62" s="35">
        <f t="shared" si="104"/>
        <v>1917631.82158066</v>
      </c>
      <c r="AU62" s="36">
        <f t="shared" si="105"/>
        <v>0.0530204108933818</v>
      </c>
      <c r="AV62" s="36"/>
      <c r="AW62" s="35">
        <f t="shared" si="106"/>
        <v>1645763.54696817</v>
      </c>
      <c r="AX62" s="35">
        <f>AX63+AX64</f>
        <v>170044.195836158</v>
      </c>
      <c r="AY62" s="36">
        <f t="shared" si="107"/>
        <v>0.486880494376569</v>
      </c>
      <c r="AZ62" s="35">
        <f>AZ63+AZ64</f>
        <v>92769.3616341967</v>
      </c>
      <c r="BA62" s="36">
        <f t="shared" si="108"/>
        <v>-0.230376872505287</v>
      </c>
      <c r="BB62" s="35">
        <f>BB63+BB64</f>
        <v>156221.206244778</v>
      </c>
      <c r="BC62" s="36">
        <f t="shared" si="109"/>
        <v>0.0898092761934937</v>
      </c>
      <c r="BD62" s="35">
        <f>BD63+BD64</f>
        <v>158148.459005556</v>
      </c>
      <c r="BE62" s="36">
        <f t="shared" si="110"/>
        <v>0.111037886371034</v>
      </c>
      <c r="BF62" s="35">
        <f>BF63+BF64</f>
        <v>155696.821054764</v>
      </c>
      <c r="BG62" s="36">
        <f t="shared" si="111"/>
        <v>0.0608518721155236</v>
      </c>
      <c r="BH62" s="35">
        <f>BH63+BH64</f>
        <v>143664.068418663</v>
      </c>
      <c r="BI62" s="36">
        <f t="shared" si="112"/>
        <v>-0.0182090735862237</v>
      </c>
      <c r="BJ62" s="35">
        <f>BJ63+BJ64</f>
        <v>146416.583932971</v>
      </c>
      <c r="BK62" s="36">
        <f t="shared" si="113"/>
        <v>0.0122473275808084</v>
      </c>
      <c r="BL62" s="35">
        <f>BL63+BL64</f>
        <v>146917.048076908</v>
      </c>
      <c r="BM62" s="36">
        <f t="shared" si="114"/>
        <v>0.00793707457877368</v>
      </c>
      <c r="BN62" s="35">
        <f>BN63+BN64</f>
        <v>155060.563550594</v>
      </c>
      <c r="BO62" s="36">
        <f t="shared" si="115"/>
        <v>0.0200168678975383</v>
      </c>
      <c r="BP62" s="35">
        <f>BP63+BP64</f>
        <v>156573.763032877</v>
      </c>
      <c r="BQ62" s="36">
        <f t="shared" si="116"/>
        <v>0.0398658945481754</v>
      </c>
      <c r="BR62" s="35">
        <f>BR63+BR64</f>
        <v>164251.476180705</v>
      </c>
      <c r="BS62" s="36">
        <f t="shared" si="117"/>
        <v>-0.00339810462285395</v>
      </c>
      <c r="BT62" s="35">
        <f>BT63+BT64</f>
        <v>175313.995065169</v>
      </c>
      <c r="BU62" s="36">
        <f t="shared" si="118"/>
        <v>0.083316670941207</v>
      </c>
      <c r="BV62" s="35">
        <f t="shared" si="119"/>
        <v>1821077.54203334</v>
      </c>
      <c r="BW62" s="36">
        <f t="shared" si="120"/>
        <v>0.0506280876435607</v>
      </c>
      <c r="BX62" s="36"/>
      <c r="BY62" s="41">
        <f>BY63+BY64</f>
        <v>114363.055053362</v>
      </c>
      <c r="BZ62" s="721">
        <f t="shared" si="121"/>
        <v>0.01454937028218</v>
      </c>
      <c r="CA62" s="41">
        <f>CA63+CA64</f>
        <v>120538.687469256</v>
      </c>
      <c r="CB62" s="721">
        <f t="shared" si="122"/>
        <v>0.559666637223931</v>
      </c>
      <c r="CC62" s="41">
        <f>SUM(CC63:CC64)</f>
        <v>143347.289895008</v>
      </c>
      <c r="CD62" s="721">
        <f t="shared" si="123"/>
        <v>0.214917307259608</v>
      </c>
      <c r="CE62" s="41">
        <v>142342.993830853</v>
      </c>
      <c r="CF62" s="721">
        <f t="shared" si="124"/>
        <v>0.208108931150069</v>
      </c>
      <c r="CG62" s="41">
        <v>146765.844645471</v>
      </c>
      <c r="CH62" s="721">
        <f t="shared" si="125"/>
        <v>0.169010427042275</v>
      </c>
      <c r="CI62" s="41">
        <f>CI63+CI64</f>
        <v>146328.576231021</v>
      </c>
      <c r="CJ62" s="721">
        <f t="shared" si="126"/>
        <v>0.224587035890007</v>
      </c>
      <c r="CK62" s="41">
        <f>CK63+CK64</f>
        <v>144645.06839736</v>
      </c>
      <c r="CL62" s="721">
        <f t="shared" si="127"/>
        <v>0.207623520844818</v>
      </c>
      <c r="CM62" s="41">
        <v>145760.138983186</v>
      </c>
      <c r="CN62" s="721">
        <f t="shared" si="128"/>
        <v>0.268996488542398</v>
      </c>
      <c r="CO62" s="41">
        <f>SUM(CO63:CO64)</f>
        <v>152017.646404422</v>
      </c>
      <c r="CP62" s="721">
        <f t="shared" si="129"/>
        <v>0.103163233298226</v>
      </c>
      <c r="CQ62" s="41">
        <f>SUM(CQ63:CQ64)</f>
        <v>150571.110999759</v>
      </c>
      <c r="CR62" s="721">
        <f t="shared" si="130"/>
        <v>0.0739362578149374</v>
      </c>
      <c r="CS62" s="41">
        <f>CS63+CS64</f>
        <v>164811.522978839</v>
      </c>
      <c r="CT62" s="721">
        <f t="shared" si="131"/>
        <v>0.145966984782025</v>
      </c>
      <c r="CU62" s="41">
        <f>CU63+CU64</f>
        <v>161830.792203034</v>
      </c>
      <c r="CV62" s="721">
        <f t="shared" si="132"/>
        <v>0.12524137653657</v>
      </c>
      <c r="CW62" s="41">
        <f t="shared" si="133"/>
        <v>1733322.72709157</v>
      </c>
      <c r="CX62" s="721">
        <f t="shared" si="134"/>
        <v>0.170623592677665</v>
      </c>
      <c r="CY62" s="721"/>
      <c r="CZ62" s="721">
        <f t="shared" si="135"/>
        <v>-0.0180856940214534</v>
      </c>
      <c r="DA62" s="721">
        <f t="shared" si="136"/>
        <v>0.0945759906035548</v>
      </c>
      <c r="DB62" s="721"/>
      <c r="DC62" s="721"/>
      <c r="DD62" s="721"/>
      <c r="DE62" s="721"/>
      <c r="DF62" s="721"/>
      <c r="DG62" s="721"/>
      <c r="DH62" s="721"/>
      <c r="DI62" s="721"/>
      <c r="DJ62" s="721"/>
      <c r="DK62" s="721"/>
      <c r="DL62" s="206"/>
      <c r="DM62" s="41">
        <v>112723.006295449</v>
      </c>
      <c r="DN62" s="41">
        <v>77284.9047305419</v>
      </c>
      <c r="DO62" s="41">
        <v>117989.338894468</v>
      </c>
      <c r="DP62" s="41">
        <v>117822.979501814</v>
      </c>
      <c r="DQ62" s="41">
        <v>125547.079179443</v>
      </c>
      <c r="DR62" s="41">
        <v>119492.181398664</v>
      </c>
      <c r="DS62" s="41">
        <v>119776.624006272</v>
      </c>
      <c r="DT62" s="41">
        <v>114862.523497295</v>
      </c>
      <c r="DU62" s="41">
        <v>137801.588936137</v>
      </c>
      <c r="DV62" s="41">
        <v>140204.886373904</v>
      </c>
      <c r="DW62" s="41">
        <v>153359.385497783</v>
      </c>
      <c r="DX62" s="41">
        <v>143818.735764179</v>
      </c>
      <c r="DY62" s="721">
        <v>0.11222346060928</v>
      </c>
      <c r="DZ62" s="41">
        <f t="shared" si="137"/>
        <v>1480683.23407595</v>
      </c>
      <c r="EA62" s="36">
        <f t="shared" si="138"/>
        <v>-0.0493739276720937</v>
      </c>
      <c r="EB62" s="36"/>
      <c r="EC62" s="737">
        <f t="shared" ref="EC62:EN62" si="144">EC63+EC64</f>
        <v>157899.588197554</v>
      </c>
      <c r="ED62" s="737">
        <f t="shared" si="144"/>
        <v>76505.7436404957</v>
      </c>
      <c r="EE62" s="737">
        <f t="shared" si="144"/>
        <v>118147.435100145</v>
      </c>
      <c r="EF62" s="737">
        <f t="shared" si="144"/>
        <v>137707.74938699</v>
      </c>
      <c r="EG62" s="737">
        <f t="shared" si="144"/>
        <v>143750.273171287</v>
      </c>
      <c r="EH62" s="737">
        <f t="shared" si="144"/>
        <v>147805.386091653</v>
      </c>
      <c r="EI62" s="737">
        <f t="shared" si="144"/>
        <v>124909.973134925</v>
      </c>
      <c r="EJ62" s="737">
        <f t="shared" si="144"/>
        <v>116763.865154824</v>
      </c>
      <c r="EK62" s="737">
        <f t="shared" si="144"/>
        <v>138991.54187179</v>
      </c>
      <c r="EL62" s="737">
        <f t="shared" si="144"/>
        <v>128310.408487735</v>
      </c>
      <c r="EM62" s="50">
        <f t="shared" si="144"/>
        <v>137488.06897754</v>
      </c>
      <c r="EN62" s="50">
        <f t="shared" si="144"/>
        <v>129307.410657742</v>
      </c>
      <c r="EO62" s="724">
        <f t="shared" si="139"/>
        <v>1557587.44387268</v>
      </c>
      <c r="EP62" s="36"/>
      <c r="EQ62" s="738"/>
    </row>
    <row r="63" s="206" customFormat="1" ht="27" customHeight="1" spans="1:147">
      <c r="A63" s="45"/>
      <c r="B63" s="707" t="s">
        <v>92</v>
      </c>
      <c r="C63" s="35">
        <v>51030.4204</v>
      </c>
      <c r="D63" s="36">
        <f t="shared" si="83"/>
        <v>0.0634460370465995</v>
      </c>
      <c r="E63" s="35">
        <v>45357.8964</v>
      </c>
      <c r="F63" s="36">
        <f t="shared" si="84"/>
        <v>-0.136032886947655</v>
      </c>
      <c r="G63" s="35">
        <v>63128.3892</v>
      </c>
      <c r="H63" s="36">
        <f t="shared" si="85"/>
        <v>0.0871036535577552</v>
      </c>
      <c r="I63" s="35">
        <v>60100.2224</v>
      </c>
      <c r="J63" s="36">
        <f t="shared" si="86"/>
        <v>0.0465903303338222</v>
      </c>
      <c r="K63" s="35">
        <v>58796.9967</v>
      </c>
      <c r="L63" s="36">
        <f t="shared" si="87"/>
        <v>0.0172422880263889</v>
      </c>
      <c r="M63" s="35">
        <v>54790.1899</v>
      </c>
      <c r="N63" s="36">
        <f t="shared" si="88"/>
        <v>-0.0611177689913245</v>
      </c>
      <c r="O63" s="35">
        <v>45622.7739</v>
      </c>
      <c r="P63" s="36">
        <f t="shared" si="89"/>
        <v>0.13975170956921</v>
      </c>
      <c r="Q63" s="127"/>
      <c r="R63" s="127"/>
      <c r="S63" s="35">
        <f t="shared" si="90"/>
        <v>378826.8889</v>
      </c>
      <c r="T63" s="36">
        <f t="shared" si="91"/>
        <v>-0.0710167926608313</v>
      </c>
      <c r="U63" s="36"/>
      <c r="V63" s="35">
        <v>47985.9049</v>
      </c>
      <c r="W63" s="36">
        <f t="shared" si="92"/>
        <v>-0.327062564269852</v>
      </c>
      <c r="X63" s="35">
        <v>52499.5636</v>
      </c>
      <c r="Y63" s="36">
        <f t="shared" si="93"/>
        <v>0.234729499445202</v>
      </c>
      <c r="Z63" s="35">
        <v>58070.2576</v>
      </c>
      <c r="AA63" s="36">
        <f t="shared" si="94"/>
        <v>0.255457133058203</v>
      </c>
      <c r="AB63" s="35">
        <v>57424.7828</v>
      </c>
      <c r="AC63" s="36">
        <f t="shared" si="95"/>
        <v>0.274577236446545</v>
      </c>
      <c r="AD63" s="35">
        <v>57800.3858</v>
      </c>
      <c r="AE63" s="36">
        <f t="shared" si="96"/>
        <v>0.371691444473695</v>
      </c>
      <c r="AF63" s="35">
        <v>58356.8291</v>
      </c>
      <c r="AG63" s="36">
        <f t="shared" si="97"/>
        <v>0.500594927190012</v>
      </c>
      <c r="AH63" s="35">
        <v>40028.6953</v>
      </c>
      <c r="AI63" s="36">
        <f t="shared" si="98"/>
        <v>0.112329253388023</v>
      </c>
      <c r="AJ63" s="35">
        <v>35620.1651</v>
      </c>
      <c r="AK63" s="36">
        <f t="shared" si="99"/>
        <v>0.0200573239776394</v>
      </c>
      <c r="AL63" s="35">
        <v>42579.2118</v>
      </c>
      <c r="AM63" s="36">
        <f t="shared" si="100"/>
        <v>0.194246736341343</v>
      </c>
      <c r="AN63" s="35">
        <v>39812.5178</v>
      </c>
      <c r="AO63" s="36">
        <f t="shared" si="101"/>
        <v>0.130640791365331</v>
      </c>
      <c r="AP63" s="35">
        <v>39440.8583</v>
      </c>
      <c r="AQ63" s="36">
        <f t="shared" si="102"/>
        <v>0.105037480548303</v>
      </c>
      <c r="AR63" s="35">
        <v>40747.9556</v>
      </c>
      <c r="AS63" s="36">
        <f t="shared" si="103"/>
        <v>-0.172548061662481</v>
      </c>
      <c r="AT63" s="35">
        <f t="shared" si="104"/>
        <v>570367.1277</v>
      </c>
      <c r="AU63" s="36">
        <f t="shared" si="105"/>
        <v>0.112104879086262</v>
      </c>
      <c r="AV63" s="36"/>
      <c r="AW63" s="35">
        <f t="shared" si="106"/>
        <v>463626.6044</v>
      </c>
      <c r="AX63" s="35">
        <v>71308.1222</v>
      </c>
      <c r="AY63" s="36">
        <f t="shared" si="107"/>
        <v>0.0954394299167725</v>
      </c>
      <c r="AZ63" s="35">
        <v>42519.081</v>
      </c>
      <c r="BA63" s="36">
        <f t="shared" si="108"/>
        <v>-0.0087233276728238</v>
      </c>
      <c r="BB63" s="35">
        <v>46254.2735</v>
      </c>
      <c r="BC63" s="36">
        <f t="shared" si="109"/>
        <v>-0.00595259890623967</v>
      </c>
      <c r="BD63" s="35">
        <v>45053.9843</v>
      </c>
      <c r="BE63" s="36">
        <f t="shared" si="110"/>
        <v>-0.0192284216321723</v>
      </c>
      <c r="BF63" s="35">
        <v>42138.0377</v>
      </c>
      <c r="BG63" s="36">
        <f t="shared" si="111"/>
        <v>-0.0434390383856393</v>
      </c>
      <c r="BH63" s="35">
        <v>38889.1286</v>
      </c>
      <c r="BI63" s="36">
        <f t="shared" si="112"/>
        <v>-0.115285166428167</v>
      </c>
      <c r="BJ63" s="35">
        <v>35986.3729</v>
      </c>
      <c r="BK63" s="36">
        <f t="shared" si="113"/>
        <v>-0.196111111974874</v>
      </c>
      <c r="BL63" s="35">
        <v>34919.768</v>
      </c>
      <c r="BM63" s="36">
        <f t="shared" si="114"/>
        <v>-0.173492018239628</v>
      </c>
      <c r="BN63" s="35">
        <v>35653.6137</v>
      </c>
      <c r="BO63" s="36">
        <f t="shared" si="115"/>
        <v>-0.106812310897167</v>
      </c>
      <c r="BP63" s="35">
        <v>35212.3487</v>
      </c>
      <c r="BQ63" s="36">
        <f t="shared" si="116"/>
        <v>-0.0836668305963498</v>
      </c>
      <c r="BR63" s="35">
        <v>35691.8738</v>
      </c>
      <c r="BS63" s="36">
        <f t="shared" si="117"/>
        <v>-0.106064208650461</v>
      </c>
      <c r="BT63" s="35">
        <v>49245.1026</v>
      </c>
      <c r="BU63" s="36">
        <f t="shared" si="118"/>
        <v>0.012960825789698</v>
      </c>
      <c r="BV63" s="35">
        <f t="shared" si="119"/>
        <v>512871.707</v>
      </c>
      <c r="BW63" s="36">
        <f t="shared" si="120"/>
        <v>-0.0543826080116168</v>
      </c>
      <c r="BX63" s="36"/>
      <c r="BY63" s="41">
        <v>65095.4496</v>
      </c>
      <c r="BZ63" s="721">
        <f t="shared" si="121"/>
        <v>5.70138711012045</v>
      </c>
      <c r="CA63" s="41">
        <v>42893.2529</v>
      </c>
      <c r="CB63" s="721">
        <f t="shared" si="122"/>
        <v>6.32149323101704</v>
      </c>
      <c r="CC63" s="41">
        <v>46531.2554</v>
      </c>
      <c r="CD63" s="721">
        <f t="shared" si="123"/>
        <v>5.01627813802857</v>
      </c>
      <c r="CE63" s="41">
        <v>45937.2858</v>
      </c>
      <c r="CF63" s="721">
        <f t="shared" si="124"/>
        <v>5.68379303833532</v>
      </c>
      <c r="CG63" s="41">
        <v>44051.5967</v>
      </c>
      <c r="CH63" s="721">
        <f t="shared" si="125"/>
        <v>5.21847684601252</v>
      </c>
      <c r="CI63" s="702">
        <v>43956.682</v>
      </c>
      <c r="CJ63" s="721">
        <f t="shared" si="126"/>
        <v>5.24791787273779</v>
      </c>
      <c r="CK63" s="702">
        <v>44765.3568</v>
      </c>
      <c r="CL63" s="721">
        <f t="shared" si="127"/>
        <v>5.23556438651221</v>
      </c>
      <c r="CM63" s="41">
        <v>42249.765</v>
      </c>
      <c r="CN63" s="721">
        <f t="shared" si="128"/>
        <v>5.03852788018122</v>
      </c>
      <c r="CO63" s="702">
        <v>39917.2695</v>
      </c>
      <c r="CP63" s="721">
        <f t="shared" si="129"/>
        <v>3.2564691587105</v>
      </c>
      <c r="CQ63" s="702">
        <v>38427.4518</v>
      </c>
      <c r="CR63" s="721">
        <f t="shared" si="130"/>
        <v>0.876043184329858</v>
      </c>
      <c r="CS63" s="50">
        <v>39926.6638</v>
      </c>
      <c r="CT63" s="721">
        <f t="shared" si="131"/>
        <v>0.32961755042543</v>
      </c>
      <c r="CU63" s="50">
        <v>48615.0119</v>
      </c>
      <c r="CV63" s="721">
        <f t="shared" si="132"/>
        <v>0.618952521557314</v>
      </c>
      <c r="CW63" s="41">
        <f t="shared" si="133"/>
        <v>542367.0412</v>
      </c>
      <c r="CX63" s="721">
        <f t="shared" si="134"/>
        <v>2.43256449916091</v>
      </c>
      <c r="CY63" s="721"/>
      <c r="CZ63" s="721">
        <f t="shared" si="135"/>
        <v>0.217607665481933</v>
      </c>
      <c r="DA63" s="721">
        <f t="shared" si="136"/>
        <v>0.0390140883606547</v>
      </c>
      <c r="DB63" s="721"/>
      <c r="DC63" s="721"/>
      <c r="DD63" s="721"/>
      <c r="DE63" s="721"/>
      <c r="DF63" s="721"/>
      <c r="DG63" s="721"/>
      <c r="DH63" s="721"/>
      <c r="DI63" s="721"/>
      <c r="DJ63" s="721"/>
      <c r="DK63" s="721"/>
      <c r="DL63" s="206"/>
      <c r="DM63" s="41">
        <v>9713.7277</v>
      </c>
      <c r="DN63" s="41">
        <v>5858.5389</v>
      </c>
      <c r="DO63" s="41">
        <v>7734.2261</v>
      </c>
      <c r="DP63" s="41">
        <v>6872.9366</v>
      </c>
      <c r="DQ63" s="41">
        <v>7083.985</v>
      </c>
      <c r="DR63" s="41">
        <v>7035.4129</v>
      </c>
      <c r="DS63" s="41">
        <v>7179.0385</v>
      </c>
      <c r="DT63" s="41">
        <v>6996.6995</v>
      </c>
      <c r="DU63" s="41">
        <v>9378.0239</v>
      </c>
      <c r="DV63" s="41">
        <v>20483.2448</v>
      </c>
      <c r="DW63" s="41">
        <v>39641.8488</v>
      </c>
      <c r="DX63" s="41">
        <v>30028.6829</v>
      </c>
      <c r="DY63" s="721">
        <v>2.2577151432</v>
      </c>
      <c r="DZ63" s="41">
        <f t="shared" si="137"/>
        <v>158006.3656</v>
      </c>
      <c r="EA63" s="36">
        <f t="shared" si="138"/>
        <v>0.470012099249115</v>
      </c>
      <c r="EB63" s="36"/>
      <c r="EC63" s="35">
        <v>9183.6629</v>
      </c>
      <c r="ED63" s="50">
        <v>5653.1478</v>
      </c>
      <c r="EE63" s="50">
        <v>8525.6039</v>
      </c>
      <c r="EF63" s="50">
        <v>9141.38034</v>
      </c>
      <c r="EG63" s="50">
        <v>9133.326</v>
      </c>
      <c r="EH63" s="50">
        <v>10027.5536</v>
      </c>
      <c r="EI63" s="50">
        <v>9515.4543</v>
      </c>
      <c r="EJ63" s="50">
        <v>9507.5329</v>
      </c>
      <c r="EK63" s="50">
        <v>9608.4333</v>
      </c>
      <c r="EL63" s="50">
        <v>9806.7472</v>
      </c>
      <c r="EM63" s="50">
        <v>8165.8837</v>
      </c>
      <c r="EN63" s="50">
        <v>9217.7129</v>
      </c>
      <c r="EO63" s="724">
        <f t="shared" si="139"/>
        <v>107486.43884</v>
      </c>
      <c r="EP63" s="36"/>
      <c r="EQ63" s="740">
        <f>SUM(EC63:EN63)</f>
        <v>107486.43884</v>
      </c>
    </row>
    <row r="64" s="206" customFormat="1" ht="29.1" customHeight="1" spans="1:147">
      <c r="A64" s="29"/>
      <c r="B64" s="707" t="s">
        <v>93</v>
      </c>
      <c r="C64" s="35">
        <v>127341.416802388</v>
      </c>
      <c r="D64" s="36">
        <f t="shared" si="83"/>
        <v>0.278513058490161</v>
      </c>
      <c r="E64" s="35">
        <v>71600.8325781792</v>
      </c>
      <c r="F64" s="36">
        <f t="shared" si="84"/>
        <v>-0.13481376686242</v>
      </c>
      <c r="G64" s="35">
        <v>107039.705933987</v>
      </c>
      <c r="H64" s="36">
        <f t="shared" si="85"/>
        <v>-0.0678410122126422</v>
      </c>
      <c r="I64" s="35">
        <v>113840.142725665</v>
      </c>
      <c r="J64" s="36">
        <f t="shared" si="86"/>
        <v>-0.0107989904149388</v>
      </c>
      <c r="K64" s="35">
        <v>115480.456795069</v>
      </c>
      <c r="L64" s="36">
        <f t="shared" si="87"/>
        <v>0.0115142099754952</v>
      </c>
      <c r="M64" s="35">
        <v>110389.615551437</v>
      </c>
      <c r="N64" s="36">
        <f t="shared" si="88"/>
        <v>0.0620560960990342</v>
      </c>
      <c r="O64" s="35">
        <v>111827.165993287</v>
      </c>
      <c r="P64" s="36">
        <f t="shared" si="89"/>
        <v>-0.0154446002585608</v>
      </c>
      <c r="Q64" s="127"/>
      <c r="R64" s="127"/>
      <c r="S64" s="35">
        <f t="shared" si="90"/>
        <v>757519.336380012</v>
      </c>
      <c r="T64" s="36">
        <f t="shared" si="91"/>
        <v>-0.116963276425584</v>
      </c>
      <c r="U64" s="36"/>
      <c r="V64" s="35">
        <v>99601.1858907173</v>
      </c>
      <c r="W64" s="36">
        <f t="shared" si="92"/>
        <v>0.00876186608095786</v>
      </c>
      <c r="X64" s="35">
        <v>82757.7113872007</v>
      </c>
      <c r="Y64" s="36">
        <f t="shared" si="93"/>
        <v>0.64691043199631</v>
      </c>
      <c r="Z64" s="35">
        <v>114829.881314629</v>
      </c>
      <c r="AA64" s="36">
        <f t="shared" si="94"/>
        <v>0.0442219169751457</v>
      </c>
      <c r="AB64" s="35">
        <v>115082.922098328</v>
      </c>
      <c r="AC64" s="36">
        <f t="shared" si="95"/>
        <v>0.0175821798363622</v>
      </c>
      <c r="AD64" s="35">
        <v>114165.926347062</v>
      </c>
      <c r="AE64" s="36">
        <f t="shared" si="96"/>
        <v>0.00534650842816142</v>
      </c>
      <c r="AF64" s="35">
        <v>103939.533850332</v>
      </c>
      <c r="AG64" s="36">
        <f t="shared" si="97"/>
        <v>-0.00797333761085295</v>
      </c>
      <c r="AH64" s="35">
        <v>113581.385082703</v>
      </c>
      <c r="AI64" s="36">
        <f t="shared" si="98"/>
        <v>0.0285354344635922</v>
      </c>
      <c r="AJ64" s="35">
        <v>113898.56931827</v>
      </c>
      <c r="AK64" s="36">
        <f t="shared" si="99"/>
        <v>0.0169762090655807</v>
      </c>
      <c r="AL64" s="35">
        <v>120142.222456694</v>
      </c>
      <c r="AM64" s="36">
        <f t="shared" si="100"/>
        <v>0.00615770360954704</v>
      </c>
      <c r="AN64" s="35">
        <v>111360.283090181</v>
      </c>
      <c r="AO64" s="36">
        <f t="shared" si="101"/>
        <v>-0.0824078336403062</v>
      </c>
      <c r="AP64" s="35">
        <v>125037.126536137</v>
      </c>
      <c r="AQ64" s="36">
        <f t="shared" si="102"/>
        <v>-0.0273995545983166</v>
      </c>
      <c r="AR64" s="35">
        <v>132867.946508403</v>
      </c>
      <c r="AS64" s="36">
        <f t="shared" si="103"/>
        <v>0.0539312586180805</v>
      </c>
      <c r="AT64" s="35">
        <f t="shared" si="104"/>
        <v>1347264.69388066</v>
      </c>
      <c r="AU64" s="36">
        <f t="shared" si="105"/>
        <v>0.0298568144257834</v>
      </c>
      <c r="AV64" s="36"/>
      <c r="AW64" s="35">
        <f t="shared" si="106"/>
        <v>1182136.94256817</v>
      </c>
      <c r="AX64" s="35">
        <v>98736.0736361577</v>
      </c>
      <c r="AY64" s="36">
        <f t="shared" si="107"/>
        <v>1.0040769736541</v>
      </c>
      <c r="AZ64" s="35">
        <v>50250.2806341967</v>
      </c>
      <c r="BA64" s="36">
        <f t="shared" si="108"/>
        <v>-0.352823756954109</v>
      </c>
      <c r="BB64" s="35">
        <v>109966.932744778</v>
      </c>
      <c r="BC64" s="36">
        <f t="shared" si="109"/>
        <v>0.135833886590838</v>
      </c>
      <c r="BD64" s="35">
        <v>113094.474705556</v>
      </c>
      <c r="BE64" s="36">
        <f t="shared" si="110"/>
        <v>0.173109736089091</v>
      </c>
      <c r="BF64" s="35">
        <v>113558.783354764</v>
      </c>
      <c r="BG64" s="36">
        <f t="shared" si="111"/>
        <v>0.105579660331546</v>
      </c>
      <c r="BH64" s="35">
        <v>104774.939818663</v>
      </c>
      <c r="BI64" s="36">
        <f t="shared" si="112"/>
        <v>0.0234736848985044</v>
      </c>
      <c r="BJ64" s="35">
        <v>110430.211032971</v>
      </c>
      <c r="BK64" s="36">
        <f t="shared" si="113"/>
        <v>0.105632057470716</v>
      </c>
      <c r="BL64" s="35">
        <v>111997.280076908</v>
      </c>
      <c r="BM64" s="36">
        <f t="shared" si="114"/>
        <v>0.0819908746064486</v>
      </c>
      <c r="BN64" s="35">
        <v>119406.949850594</v>
      </c>
      <c r="BO64" s="36">
        <f t="shared" si="115"/>
        <v>0.0651788437107723</v>
      </c>
      <c r="BP64" s="35">
        <v>121361.414332877</v>
      </c>
      <c r="BQ64" s="36">
        <f t="shared" si="116"/>
        <v>0.0821959547146451</v>
      </c>
      <c r="BR64" s="35">
        <v>128559.602380705</v>
      </c>
      <c r="BS64" s="36">
        <f t="shared" si="117"/>
        <v>0.0294250498101107</v>
      </c>
      <c r="BT64" s="35">
        <v>126068.892465169</v>
      </c>
      <c r="BU64" s="36">
        <f t="shared" si="118"/>
        <v>0.113527567691821</v>
      </c>
      <c r="BV64" s="35">
        <f t="shared" si="119"/>
        <v>1308205.83503334</v>
      </c>
      <c r="BW64" s="36">
        <f t="shared" si="120"/>
        <v>0.0984504717772032</v>
      </c>
      <c r="BX64" s="36"/>
      <c r="BY64" s="41">
        <v>49267.605453362</v>
      </c>
      <c r="BZ64" s="721">
        <f t="shared" si="121"/>
        <v>-0.521716818861998</v>
      </c>
      <c r="CA64" s="41">
        <v>77645.4345692561</v>
      </c>
      <c r="CB64" s="721">
        <f t="shared" si="122"/>
        <v>0.0870696509111057</v>
      </c>
      <c r="CC64" s="41">
        <v>96816.0344950084</v>
      </c>
      <c r="CD64" s="721">
        <f t="shared" si="123"/>
        <v>-0.12189074918015</v>
      </c>
      <c r="CE64" s="41">
        <v>96405.7080308531</v>
      </c>
      <c r="CF64" s="721">
        <f t="shared" si="124"/>
        <v>-0.131089042334414</v>
      </c>
      <c r="CG64" s="41">
        <v>102714.247945471</v>
      </c>
      <c r="CH64" s="721">
        <f t="shared" si="125"/>
        <v>-0.132943059972047</v>
      </c>
      <c r="CI64" s="41">
        <v>102371.894231021</v>
      </c>
      <c r="CJ64" s="721">
        <f t="shared" si="126"/>
        <v>-0.0896777882050097</v>
      </c>
      <c r="CK64" s="702">
        <v>99879.7115973601</v>
      </c>
      <c r="CL64" s="721">
        <f t="shared" si="127"/>
        <v>-0.112949792410988</v>
      </c>
      <c r="CM64" s="41">
        <v>103510.373983186</v>
      </c>
      <c r="CN64" s="721">
        <f t="shared" si="128"/>
        <v>-0.0403784058073687</v>
      </c>
      <c r="CO64" s="41">
        <v>112100.376904422</v>
      </c>
      <c r="CP64" s="721">
        <f t="shared" si="129"/>
        <v>-0.127104306184942</v>
      </c>
      <c r="CQ64" s="41">
        <v>112143.659199759</v>
      </c>
      <c r="CR64" s="721">
        <f t="shared" si="130"/>
        <v>-0.0632966794851967</v>
      </c>
      <c r="CS64" s="41">
        <v>124884.859178839</v>
      </c>
      <c r="CT64" s="721">
        <f t="shared" si="131"/>
        <v>0.0975024269292051</v>
      </c>
      <c r="CU64" s="41">
        <v>113215.780303034</v>
      </c>
      <c r="CV64" s="721">
        <f t="shared" si="132"/>
        <v>-0.00504677295326028</v>
      </c>
      <c r="CW64" s="41">
        <f t="shared" si="133"/>
        <v>1190955.68589157</v>
      </c>
      <c r="CX64" s="721">
        <f t="shared" si="134"/>
        <v>-0.09958681952014</v>
      </c>
      <c r="CY64" s="721"/>
      <c r="CZ64" s="721">
        <f t="shared" si="135"/>
        <v>-0.093438699875495</v>
      </c>
      <c r="DA64" s="721">
        <f t="shared" si="136"/>
        <v>0.1136149834061</v>
      </c>
      <c r="DB64" s="721"/>
      <c r="DC64" s="721"/>
      <c r="DD64" s="721"/>
      <c r="DE64" s="721"/>
      <c r="DF64" s="721"/>
      <c r="DG64" s="721"/>
      <c r="DH64" s="721"/>
      <c r="DI64" s="721"/>
      <c r="DJ64" s="721"/>
      <c r="DK64" s="721"/>
      <c r="DL64" s="21"/>
      <c r="DM64" s="727">
        <v>103009.278595449</v>
      </c>
      <c r="DN64" s="727">
        <v>71426.3658305419</v>
      </c>
      <c r="DO64" s="727">
        <v>110255.112794468</v>
      </c>
      <c r="DP64" s="727">
        <v>110950.042901814</v>
      </c>
      <c r="DQ64" s="727">
        <v>118463.094179443</v>
      </c>
      <c r="DR64" s="727">
        <v>112456.768498664</v>
      </c>
      <c r="DS64" s="727">
        <v>112597.585506272</v>
      </c>
      <c r="DT64" s="727">
        <v>107865.823997295</v>
      </c>
      <c r="DU64" s="727">
        <v>128423.565036137</v>
      </c>
      <c r="DV64" s="727">
        <v>119721.641573904</v>
      </c>
      <c r="DW64" s="727">
        <v>113717.536697783</v>
      </c>
      <c r="DX64" s="727">
        <v>113790.052864179</v>
      </c>
      <c r="DY64" s="728">
        <v>-0.0524578295323153</v>
      </c>
      <c r="DZ64" s="727">
        <f t="shared" si="137"/>
        <v>1322676.86847595</v>
      </c>
      <c r="EA64" s="729">
        <f t="shared" si="138"/>
        <v>-0.0878725937810511</v>
      </c>
      <c r="EB64" s="741"/>
      <c r="EC64" s="35">
        <v>148715.925297554</v>
      </c>
      <c r="ED64" s="50">
        <v>70852.5958404957</v>
      </c>
      <c r="EE64" s="50">
        <v>109621.831200145</v>
      </c>
      <c r="EF64" s="50">
        <v>128566.36904699</v>
      </c>
      <c r="EG64" s="50">
        <v>134616.947171287</v>
      </c>
      <c r="EH64" s="50">
        <v>137777.832491653</v>
      </c>
      <c r="EI64" s="50">
        <v>115394.518834925</v>
      </c>
      <c r="EJ64" s="50">
        <v>107256.332254824</v>
      </c>
      <c r="EK64" s="50">
        <v>129383.10857179</v>
      </c>
      <c r="EL64" s="50">
        <v>118503.661287735</v>
      </c>
      <c r="EM64" s="50">
        <v>129322.18527754</v>
      </c>
      <c r="EN64" s="50">
        <v>120089.697757742</v>
      </c>
      <c r="EO64" s="724">
        <f t="shared" si="139"/>
        <v>1450101.00503268</v>
      </c>
      <c r="EP64" s="36"/>
      <c r="EQ64" s="740">
        <f>SUM(EC64:EN64)</f>
        <v>1450101.00503268</v>
      </c>
    </row>
    <row r="65" s="206" customFormat="1" ht="27" customHeight="1" spans="1:147">
      <c r="A65" s="707" t="s">
        <v>102</v>
      </c>
      <c r="B65" s="707" t="s">
        <v>88</v>
      </c>
      <c r="C65" s="35">
        <v>1205.66440868953</v>
      </c>
      <c r="D65" s="36">
        <f t="shared" si="83"/>
        <v>0.211760471576585</v>
      </c>
      <c r="E65" s="35">
        <v>806.173313257317</v>
      </c>
      <c r="F65" s="36">
        <f t="shared" si="84"/>
        <v>-0.10670744515105</v>
      </c>
      <c r="G65" s="35">
        <v>1177.47553986541</v>
      </c>
      <c r="H65" s="36">
        <f t="shared" si="85"/>
        <v>-0.00641912036086145</v>
      </c>
      <c r="I65" s="35">
        <v>1227.59690138605</v>
      </c>
      <c r="J65" s="36">
        <f t="shared" si="86"/>
        <v>0.00330233600489516</v>
      </c>
      <c r="K65" s="35">
        <v>1219.39549923326</v>
      </c>
      <c r="L65" s="36">
        <f t="shared" si="87"/>
        <v>0.0331129763466735</v>
      </c>
      <c r="M65" s="35">
        <v>1138.43701372465</v>
      </c>
      <c r="N65" s="36">
        <f t="shared" si="88"/>
        <v>0.0835799353965505</v>
      </c>
      <c r="O65" s="35">
        <v>1057.655700967</v>
      </c>
      <c r="P65" s="36">
        <f t="shared" si="89"/>
        <v>-0.0123423674161995</v>
      </c>
      <c r="Q65" s="127"/>
      <c r="R65" s="127"/>
      <c r="S65" s="35">
        <f t="shared" si="90"/>
        <v>7832.39837712322</v>
      </c>
      <c r="T65" s="36">
        <f t="shared" si="91"/>
        <v>-0.0960452768046505</v>
      </c>
      <c r="U65" s="36"/>
      <c r="V65" s="35">
        <v>994.969250912168</v>
      </c>
      <c r="W65" s="36">
        <f t="shared" si="92"/>
        <v>-0.0600618872640758</v>
      </c>
      <c r="X65" s="35">
        <v>902.474009081645</v>
      </c>
      <c r="Y65" s="36">
        <f t="shared" si="93"/>
        <v>0.495246543363322</v>
      </c>
      <c r="Z65" s="35">
        <v>1185.08272853747</v>
      </c>
      <c r="AA65" s="36">
        <f t="shared" si="94"/>
        <v>0.127061320081926</v>
      </c>
      <c r="AB65" s="35">
        <v>1223.55630733831</v>
      </c>
      <c r="AC65" s="36">
        <f t="shared" si="95"/>
        <v>0.0942747170249518</v>
      </c>
      <c r="AD65" s="35">
        <v>1180.31186051435</v>
      </c>
      <c r="AE65" s="36">
        <f t="shared" si="96"/>
        <v>0.083480183734139</v>
      </c>
      <c r="AF65" s="35">
        <v>1050.62577899066</v>
      </c>
      <c r="AG65" s="36">
        <f t="shared" si="97"/>
        <v>0.0744825448993449</v>
      </c>
      <c r="AH65" s="35">
        <v>1070.8728066021</v>
      </c>
      <c r="AI65" s="36">
        <f t="shared" si="98"/>
        <v>0.058091357285172</v>
      </c>
      <c r="AJ65" s="35">
        <v>1056.6987205656</v>
      </c>
      <c r="AK65" s="36">
        <f t="shared" si="99"/>
        <v>0.0217428026714204</v>
      </c>
      <c r="AL65" s="35">
        <v>1129.33083452111</v>
      </c>
      <c r="AM65" s="36">
        <f t="shared" si="100"/>
        <v>0.0445996552827168</v>
      </c>
      <c r="AN65" s="35">
        <v>1103.68792882826</v>
      </c>
      <c r="AO65" s="36">
        <f t="shared" si="101"/>
        <v>-0.00913674563434586</v>
      </c>
      <c r="AP65" s="35">
        <v>1131.81193035058</v>
      </c>
      <c r="AQ65" s="36">
        <f t="shared" si="102"/>
        <v>0.0113236116661359</v>
      </c>
      <c r="AR65" s="35">
        <v>1180.26282885272</v>
      </c>
      <c r="AS65" s="36">
        <f t="shared" si="103"/>
        <v>-0.013867334005083</v>
      </c>
      <c r="AT65" s="35">
        <f t="shared" si="104"/>
        <v>13209.684985095</v>
      </c>
      <c r="AU65" s="36">
        <f t="shared" si="105"/>
        <v>0.0604932162684011</v>
      </c>
      <c r="AV65" s="36"/>
      <c r="AW65" s="35">
        <f t="shared" si="106"/>
        <v>11259.311043549</v>
      </c>
      <c r="AX65" s="35">
        <v>1058.547618647</v>
      </c>
      <c r="AY65" s="36">
        <f t="shared" si="107"/>
        <v>0.681648811464865</v>
      </c>
      <c r="AZ65" s="35">
        <v>603.562009948989</v>
      </c>
      <c r="BA65" s="36">
        <f t="shared" si="108"/>
        <v>-0.223853455371375</v>
      </c>
      <c r="BB65" s="35">
        <v>1051.48025881265</v>
      </c>
      <c r="BC65" s="36">
        <f t="shared" si="109"/>
        <v>0.037755059329835</v>
      </c>
      <c r="BD65" s="35">
        <v>1118.14363276604</v>
      </c>
      <c r="BE65" s="36">
        <f t="shared" si="110"/>
        <v>0.117826821874776</v>
      </c>
      <c r="BF65" s="35">
        <v>1089.37097164665</v>
      </c>
      <c r="BG65" s="36">
        <f t="shared" si="111"/>
        <v>0.084369045922857</v>
      </c>
      <c r="BH65" s="35">
        <v>977.796972112823</v>
      </c>
      <c r="BI65" s="36">
        <f t="shared" si="112"/>
        <v>0.0169253890323089</v>
      </c>
      <c r="BJ65" s="35">
        <v>1012.07972187744</v>
      </c>
      <c r="BK65" s="36">
        <f t="shared" si="113"/>
        <v>0.0561320145098503</v>
      </c>
      <c r="BL65" s="35">
        <v>1034.21205199859</v>
      </c>
      <c r="BM65" s="36">
        <f t="shared" si="114"/>
        <v>0.0371336714189352</v>
      </c>
      <c r="BN65" s="35">
        <v>1081.11354317407</v>
      </c>
      <c r="BO65" s="36">
        <f t="shared" si="115"/>
        <v>0.0597667101023114</v>
      </c>
      <c r="BP65" s="35">
        <v>1113.86503028093</v>
      </c>
      <c r="BQ65" s="36">
        <f t="shared" si="116"/>
        <v>0.0210890346274419</v>
      </c>
      <c r="BR65" s="35">
        <v>1119.13923228386</v>
      </c>
      <c r="BS65" s="36">
        <f t="shared" si="117"/>
        <v>0.0307008405476508</v>
      </c>
      <c r="BT65" s="35">
        <v>1196.86008744264</v>
      </c>
      <c r="BU65" s="36">
        <f t="shared" si="118"/>
        <v>0.0801580385281313</v>
      </c>
      <c r="BV65" s="35">
        <f t="shared" si="119"/>
        <v>12456.1711309917</v>
      </c>
      <c r="BW65" s="36">
        <f t="shared" si="120"/>
        <v>0.0694677743309671</v>
      </c>
      <c r="BX65" s="36"/>
      <c r="BY65" s="50">
        <v>629.470084021236</v>
      </c>
      <c r="BZ65" s="721">
        <f t="shared" si="121"/>
        <v>-0.13026815204393</v>
      </c>
      <c r="CA65" s="50">
        <v>777.639241102059</v>
      </c>
      <c r="CB65" s="721">
        <f t="shared" si="122"/>
        <v>0.611839927173807</v>
      </c>
      <c r="CC65" s="41">
        <v>1013.22585648648</v>
      </c>
      <c r="CD65" s="721">
        <f t="shared" si="123"/>
        <v>0.206092537245754</v>
      </c>
      <c r="CE65" s="41">
        <v>1000.28341679146</v>
      </c>
      <c r="CF65" s="721">
        <f t="shared" si="124"/>
        <v>0.252597856525971</v>
      </c>
      <c r="CG65" s="41">
        <v>1004.61275221992</v>
      </c>
      <c r="CH65" s="721">
        <f t="shared" si="125"/>
        <v>0.179459383888348</v>
      </c>
      <c r="CI65" s="702">
        <v>961.522824248965</v>
      </c>
      <c r="CJ65" s="721">
        <f t="shared" si="126"/>
        <v>0.242194213107997</v>
      </c>
      <c r="CK65" s="702">
        <v>958.289028239661</v>
      </c>
      <c r="CL65" s="721">
        <f t="shared" si="127"/>
        <v>0.188194395522895</v>
      </c>
      <c r="CM65" s="41">
        <v>997.182986628572</v>
      </c>
      <c r="CN65" s="721">
        <f t="shared" si="128"/>
        <v>0.220656900547242</v>
      </c>
      <c r="CO65" s="41">
        <v>1020.1429549242</v>
      </c>
      <c r="CP65" s="721">
        <f t="shared" si="129"/>
        <v>0.0980570425314928</v>
      </c>
      <c r="CQ65" s="41">
        <v>1090.85984914855</v>
      </c>
      <c r="CR65" s="721">
        <f t="shared" si="130"/>
        <v>0.159907750502403</v>
      </c>
      <c r="CS65" s="41">
        <v>1085.80413273867</v>
      </c>
      <c r="CT65" s="721">
        <f t="shared" si="131"/>
        <v>0.124471346736633</v>
      </c>
      <c r="CU65" s="41">
        <v>1108.04164275214</v>
      </c>
      <c r="CV65" s="721">
        <f t="shared" si="132"/>
        <v>0.147500769888528</v>
      </c>
      <c r="CW65" s="41">
        <f t="shared" si="133"/>
        <v>11647.0747693019</v>
      </c>
      <c r="CX65" s="721">
        <f t="shared" si="134"/>
        <v>0.182962130004899</v>
      </c>
      <c r="CY65" s="721"/>
      <c r="CZ65" s="721">
        <f t="shared" si="135"/>
        <v>0.0204802223006662</v>
      </c>
      <c r="DA65" s="721">
        <f t="shared" si="136"/>
        <v>-0.00463461590764946</v>
      </c>
      <c r="DB65" s="721"/>
      <c r="DC65" s="721"/>
      <c r="DD65" s="721"/>
      <c r="DE65" s="721"/>
      <c r="DF65" s="721"/>
      <c r="DG65" s="721"/>
      <c r="DH65" s="721"/>
      <c r="DI65" s="721"/>
      <c r="DJ65" s="721"/>
      <c r="DK65" s="721"/>
      <c r="DL65" s="222"/>
      <c r="DM65" s="742">
        <v>723.751907556949</v>
      </c>
      <c r="DN65" s="742">
        <v>482.454385197895</v>
      </c>
      <c r="DO65" s="731">
        <v>840.089649174261</v>
      </c>
      <c r="DP65" s="731">
        <v>798.567083266217</v>
      </c>
      <c r="DQ65" s="731">
        <v>851.756970984446</v>
      </c>
      <c r="DR65" s="731">
        <v>774.051926906996</v>
      </c>
      <c r="DS65" s="731">
        <v>806.508625062098</v>
      </c>
      <c r="DT65" s="731">
        <v>816.92323713692</v>
      </c>
      <c r="DU65" s="731">
        <v>929.043679345048</v>
      </c>
      <c r="DV65" s="731">
        <v>940.47121305643</v>
      </c>
      <c r="DW65" s="731">
        <v>916.455257343519</v>
      </c>
      <c r="DX65" s="731">
        <v>965.612984172358</v>
      </c>
      <c r="DY65" s="732">
        <v>-0.0414058627120094</v>
      </c>
      <c r="DZ65" s="731">
        <f t="shared" si="137"/>
        <v>9845.68691920314</v>
      </c>
      <c r="EA65" s="733">
        <f t="shared" si="138"/>
        <v>-0.071262056006368</v>
      </c>
      <c r="EB65" s="743"/>
      <c r="EC65" s="737">
        <v>1007.20225542603</v>
      </c>
      <c r="ED65" s="737">
        <v>366.126025609974</v>
      </c>
      <c r="EE65" s="737">
        <v>776.403762027104</v>
      </c>
      <c r="EF65" s="737">
        <v>980.297072518199</v>
      </c>
      <c r="EG65" s="737">
        <v>945.71164820062</v>
      </c>
      <c r="EH65" s="737">
        <v>968.505121529928</v>
      </c>
      <c r="EI65" s="737">
        <v>860.880628022889</v>
      </c>
      <c r="EJ65" s="737">
        <v>800.542343797184</v>
      </c>
      <c r="EK65" s="737">
        <v>946.854806142626</v>
      </c>
      <c r="EL65" s="737">
        <v>895.32865877198</v>
      </c>
      <c r="EM65" s="737">
        <v>1045.97206473386</v>
      </c>
      <c r="EN65" s="737">
        <v>1007.32202150143</v>
      </c>
      <c r="EO65" s="724">
        <f t="shared" si="139"/>
        <v>10601.1464082818</v>
      </c>
      <c r="EP65" s="36"/>
      <c r="EQ65" s="740">
        <f>SUM(EC65:EN65)</f>
        <v>10601.1464082818</v>
      </c>
    </row>
    <row r="66" ht="27" customHeight="1" spans="1:147">
      <c r="A66" s="45"/>
      <c r="B66" s="707" t="s">
        <v>89</v>
      </c>
      <c r="C66" s="35">
        <v>681.2375</v>
      </c>
      <c r="D66" s="36">
        <f t="shared" si="83"/>
        <v>0.239436171277302</v>
      </c>
      <c r="E66" s="35">
        <v>641.1772</v>
      </c>
      <c r="F66" s="36">
        <f t="shared" si="84"/>
        <v>0.176889992481733</v>
      </c>
      <c r="G66" s="35">
        <v>782.4605</v>
      </c>
      <c r="H66" s="36">
        <f t="shared" si="85"/>
        <v>0.286193377306656</v>
      </c>
      <c r="I66" s="35">
        <v>689.3492</v>
      </c>
      <c r="J66" s="36">
        <f t="shared" si="86"/>
        <v>0.109442479360178</v>
      </c>
      <c r="K66" s="35">
        <v>707.9711</v>
      </c>
      <c r="L66" s="36">
        <f t="shared" si="87"/>
        <v>0.109308828515791</v>
      </c>
      <c r="M66" s="35">
        <v>725.5511</v>
      </c>
      <c r="N66" s="36">
        <f t="shared" si="88"/>
        <v>0.153532557932112</v>
      </c>
      <c r="O66" s="35">
        <v>608.7164</v>
      </c>
      <c r="P66" s="36">
        <f t="shared" si="89"/>
        <v>-0.0908452208303898</v>
      </c>
      <c r="Q66" s="127"/>
      <c r="R66" s="127"/>
      <c r="S66" s="35">
        <f t="shared" si="90"/>
        <v>4836.463</v>
      </c>
      <c r="T66" s="36">
        <f t="shared" si="91"/>
        <v>-0.0107853144316512</v>
      </c>
      <c r="U66" s="36"/>
      <c r="V66" s="35">
        <v>549.635</v>
      </c>
      <c r="W66" s="36">
        <f t="shared" si="92"/>
        <v>0.12999083482831</v>
      </c>
      <c r="X66" s="35">
        <v>544.8064</v>
      </c>
      <c r="Y66" s="36">
        <f t="shared" si="93"/>
        <v>0.134698690842185</v>
      </c>
      <c r="Z66" s="35">
        <v>608.3537</v>
      </c>
      <c r="AA66" s="36">
        <f t="shared" si="94"/>
        <v>0.172876760870902</v>
      </c>
      <c r="AB66" s="35">
        <v>621.3474</v>
      </c>
      <c r="AC66" s="36">
        <f t="shared" si="95"/>
        <v>0.234865260303571</v>
      </c>
      <c r="AD66" s="35">
        <v>638.2092</v>
      </c>
      <c r="AE66" s="36">
        <f t="shared" si="96"/>
        <v>0.234322091919504</v>
      </c>
      <c r="AF66" s="35">
        <v>628.9819</v>
      </c>
      <c r="AG66" s="36">
        <f t="shared" si="97"/>
        <v>0.262131611005864</v>
      </c>
      <c r="AH66" s="35">
        <v>669.541</v>
      </c>
      <c r="AI66" s="36">
        <f t="shared" si="98"/>
        <v>0.243914805135354</v>
      </c>
      <c r="AJ66" s="35">
        <v>628.3199</v>
      </c>
      <c r="AK66" s="36">
        <f t="shared" si="99"/>
        <v>0.175544179453867</v>
      </c>
      <c r="AL66" s="35">
        <v>631.7507</v>
      </c>
      <c r="AM66" s="36">
        <f t="shared" si="100"/>
        <v>0.159796566308346</v>
      </c>
      <c r="AN66" s="35">
        <v>585.0616</v>
      </c>
      <c r="AO66" s="36">
        <f t="shared" si="101"/>
        <v>0.138541205500618</v>
      </c>
      <c r="AP66" s="35">
        <v>558.7996</v>
      </c>
      <c r="AQ66" s="36">
        <f t="shared" si="102"/>
        <v>0.112637725852877</v>
      </c>
      <c r="AR66" s="35">
        <v>557.6649</v>
      </c>
      <c r="AS66" s="36">
        <f t="shared" si="103"/>
        <v>0.0814532761253726</v>
      </c>
      <c r="AT66" s="35">
        <f t="shared" si="104"/>
        <v>7222.4713</v>
      </c>
      <c r="AU66" s="36">
        <f t="shared" si="105"/>
        <v>0.173810696289882</v>
      </c>
      <c r="AV66" s="36"/>
      <c r="AW66" s="35">
        <f t="shared" si="106"/>
        <v>5637.3495</v>
      </c>
      <c r="AX66" s="35">
        <v>486.4066</v>
      </c>
      <c r="AY66" s="36">
        <f t="shared" si="107"/>
        <v>0.651869773027207</v>
      </c>
      <c r="AZ66" s="35">
        <v>480.1331</v>
      </c>
      <c r="BA66" s="36">
        <f t="shared" si="108"/>
        <v>0.20730675748461</v>
      </c>
      <c r="BB66" s="35">
        <v>518.6851</v>
      </c>
      <c r="BC66" s="36">
        <f t="shared" si="109"/>
        <v>0.269671912444709</v>
      </c>
      <c r="BD66" s="35">
        <v>503.1702</v>
      </c>
      <c r="BE66" s="36">
        <f t="shared" si="110"/>
        <v>0.235584586200758</v>
      </c>
      <c r="BF66" s="35">
        <v>517.0524</v>
      </c>
      <c r="BG66" s="36">
        <f t="shared" si="111"/>
        <v>0.361039212646221</v>
      </c>
      <c r="BH66" s="35">
        <v>498.3489</v>
      </c>
      <c r="BI66" s="36">
        <f t="shared" si="112"/>
        <v>0.275232567006474</v>
      </c>
      <c r="BJ66" s="35">
        <v>538.2531</v>
      </c>
      <c r="BK66" s="36">
        <f t="shared" si="113"/>
        <v>0.437147423642721</v>
      </c>
      <c r="BL66" s="35">
        <v>534.4928</v>
      </c>
      <c r="BM66" s="36">
        <f t="shared" si="114"/>
        <v>0.484665517991361</v>
      </c>
      <c r="BN66" s="35">
        <v>544.7082</v>
      </c>
      <c r="BO66" s="36">
        <f t="shared" si="115"/>
        <v>0.449635826729743</v>
      </c>
      <c r="BP66" s="35">
        <v>513.8695</v>
      </c>
      <c r="BQ66" s="36">
        <f t="shared" si="116"/>
        <v>0.275667537187457</v>
      </c>
      <c r="BR66" s="35">
        <v>502.2296</v>
      </c>
      <c r="BS66" s="36">
        <f t="shared" si="117"/>
        <v>0.181231706040696</v>
      </c>
      <c r="BT66" s="35">
        <v>515.6625</v>
      </c>
      <c r="BU66" s="36">
        <f t="shared" si="118"/>
        <v>0.142348730797476</v>
      </c>
      <c r="BV66" s="35">
        <f t="shared" si="119"/>
        <v>6153.012</v>
      </c>
      <c r="BW66" s="36">
        <f t="shared" si="120"/>
        <v>0.318046367336985</v>
      </c>
      <c r="BX66" s="36"/>
      <c r="BY66" s="50">
        <v>294.4582</v>
      </c>
      <c r="BZ66" s="721">
        <f t="shared" si="121"/>
        <v>2.7263142975375</v>
      </c>
      <c r="CA66" s="50">
        <v>397.6894</v>
      </c>
      <c r="CB66" s="721">
        <f t="shared" si="122"/>
        <v>5.05717688737798</v>
      </c>
      <c r="CC66" s="41">
        <v>408.519</v>
      </c>
      <c r="CD66" s="721">
        <f t="shared" si="123"/>
        <v>3.93690481945183</v>
      </c>
      <c r="CE66" s="41">
        <v>407.2325</v>
      </c>
      <c r="CF66" s="721">
        <f t="shared" si="124"/>
        <v>5.08833814490942</v>
      </c>
      <c r="CG66" s="41">
        <v>379.8953</v>
      </c>
      <c r="CH66" s="721">
        <f t="shared" si="125"/>
        <v>3.62451155350939</v>
      </c>
      <c r="CI66" s="702">
        <v>390.7906</v>
      </c>
      <c r="CJ66" s="721">
        <f t="shared" si="126"/>
        <v>3.67893339782786</v>
      </c>
      <c r="CK66" s="702">
        <v>374.5288</v>
      </c>
      <c r="CL66" s="721">
        <f t="shared" si="127"/>
        <v>4.15636276525003</v>
      </c>
      <c r="CM66" s="41">
        <v>360.0089</v>
      </c>
      <c r="CN66" s="721">
        <f t="shared" si="128"/>
        <v>3.499936877446</v>
      </c>
      <c r="CO66" s="41">
        <v>375.7552</v>
      </c>
      <c r="CP66" s="721">
        <f t="shared" si="129"/>
        <v>2.72991704461644</v>
      </c>
      <c r="CQ66" s="41">
        <v>402.824</v>
      </c>
      <c r="CR66" s="721">
        <f t="shared" si="130"/>
        <v>2.5487849571493</v>
      </c>
      <c r="CS66" s="41">
        <v>425.1745</v>
      </c>
      <c r="CT66" s="721">
        <f t="shared" si="131"/>
        <v>1.92738049829042</v>
      </c>
      <c r="CU66" s="41">
        <v>451.4055</v>
      </c>
      <c r="CV66" s="721">
        <f t="shared" si="132"/>
        <v>2.10798426886146</v>
      </c>
      <c r="CW66" s="41">
        <f t="shared" si="133"/>
        <v>4668.2819</v>
      </c>
      <c r="CX66" s="721">
        <f t="shared" si="134"/>
        <v>3.30875268219348</v>
      </c>
      <c r="CY66" s="721"/>
      <c r="CZ66" s="721">
        <f t="shared" si="135"/>
        <v>0.0616946688947715</v>
      </c>
      <c r="DA66" s="721">
        <f t="shared" si="136"/>
        <v>0.0554845292236807</v>
      </c>
      <c r="DB66" s="721"/>
      <c r="DC66" s="721"/>
      <c r="DD66" s="721"/>
      <c r="DE66" s="721"/>
      <c r="DF66" s="721"/>
      <c r="DG66" s="721"/>
      <c r="DH66" s="721"/>
      <c r="DI66" s="721"/>
      <c r="DJ66" s="721"/>
      <c r="DK66" s="721"/>
      <c r="DL66" s="735" t="s">
        <v>102</v>
      </c>
      <c r="DM66" s="742">
        <v>79.0213</v>
      </c>
      <c r="DN66" s="742">
        <v>65.6559</v>
      </c>
      <c r="DO66" s="731">
        <v>82.748</v>
      </c>
      <c r="DP66" s="731">
        <v>66.8873</v>
      </c>
      <c r="DQ66" s="731">
        <v>82.1482</v>
      </c>
      <c r="DR66" s="731">
        <v>83.5213</v>
      </c>
      <c r="DS66" s="731">
        <v>72.6343</v>
      </c>
      <c r="DT66" s="731">
        <v>80.0031</v>
      </c>
      <c r="DU66" s="731">
        <v>100.7409</v>
      </c>
      <c r="DV66" s="731">
        <v>113.5104</v>
      </c>
      <c r="DW66" s="731">
        <v>111.3303</v>
      </c>
      <c r="DX66" s="731">
        <v>145.2406</v>
      </c>
      <c r="DY66" s="732">
        <v>1.8058659433729</v>
      </c>
      <c r="DZ66" s="731">
        <f t="shared" si="137"/>
        <v>1083.4416</v>
      </c>
      <c r="EA66" s="733">
        <f t="shared" si="138"/>
        <v>1.00579833780983</v>
      </c>
      <c r="EB66" s="733"/>
      <c r="EC66" s="737">
        <v>88.9577</v>
      </c>
      <c r="ED66" s="737">
        <v>27.5093</v>
      </c>
      <c r="EE66" s="737">
        <v>30.0013</v>
      </c>
      <c r="EF66" s="737">
        <v>32.346</v>
      </c>
      <c r="EG66" s="737">
        <v>40.0475</v>
      </c>
      <c r="EH66" s="737">
        <v>42.853</v>
      </c>
      <c r="EI66" s="737">
        <v>43.5878</v>
      </c>
      <c r="EJ66" s="737">
        <v>40.8831</v>
      </c>
      <c r="EK66" s="737">
        <v>45.6208</v>
      </c>
      <c r="EL66" s="737">
        <v>47.8424</v>
      </c>
      <c r="EM66" s="737">
        <v>48.7427</v>
      </c>
      <c r="EN66" s="737">
        <v>51.7632</v>
      </c>
      <c r="EO66" s="717">
        <f t="shared" si="139"/>
        <v>540.1548</v>
      </c>
      <c r="EP66" s="36"/>
      <c r="EQ66" s="740">
        <f>SUM(EC66:EN66)</f>
        <v>540.1548</v>
      </c>
    </row>
    <row r="67" s="206" customFormat="1" ht="27" customHeight="1" spans="1:147">
      <c r="A67" s="45"/>
      <c r="B67" s="707" t="s">
        <v>90</v>
      </c>
      <c r="C67" s="35">
        <v>524.42690868953</v>
      </c>
      <c r="D67" s="36">
        <f t="shared" si="83"/>
        <v>0.177602907513533</v>
      </c>
      <c r="E67" s="35">
        <v>164.996113257317</v>
      </c>
      <c r="F67" s="36">
        <f t="shared" si="84"/>
        <v>-0.538688690091438</v>
      </c>
      <c r="G67" s="35">
        <v>395.01503986541</v>
      </c>
      <c r="H67" s="36">
        <f t="shared" si="85"/>
        <v>-0.315076889978764</v>
      </c>
      <c r="I67" s="35">
        <v>538.24770138605</v>
      </c>
      <c r="J67" s="36">
        <f t="shared" si="86"/>
        <v>-0.106210992851236</v>
      </c>
      <c r="K67" s="35">
        <v>511.42439923326</v>
      </c>
      <c r="L67" s="36">
        <f t="shared" si="87"/>
        <v>-0.0565912391058593</v>
      </c>
      <c r="M67" s="35">
        <v>412.88591372465</v>
      </c>
      <c r="N67" s="36">
        <f t="shared" si="88"/>
        <v>-0.0207710006059497</v>
      </c>
      <c r="O67" s="35">
        <v>448.939300967</v>
      </c>
      <c r="P67" s="36">
        <f t="shared" si="89"/>
        <v>0.118623776091838</v>
      </c>
      <c r="Q67" s="127"/>
      <c r="R67" s="127"/>
      <c r="S67" s="35">
        <f t="shared" si="90"/>
        <v>2995.93537712322</v>
      </c>
      <c r="T67" s="36">
        <f t="shared" si="91"/>
        <v>-0.206458179935126</v>
      </c>
      <c r="U67" s="36"/>
      <c r="V67" s="35">
        <v>445.334250912168</v>
      </c>
      <c r="W67" s="36">
        <f t="shared" si="92"/>
        <v>-0.22163551222862</v>
      </c>
      <c r="X67" s="35">
        <v>357.667609081645</v>
      </c>
      <c r="Y67" s="36">
        <f t="shared" si="93"/>
        <v>1.8977620334609</v>
      </c>
      <c r="Z67" s="35">
        <v>576.72902853747</v>
      </c>
      <c r="AA67" s="36">
        <f t="shared" si="94"/>
        <v>0.0824592134484257</v>
      </c>
      <c r="AB67" s="35">
        <v>602.20890733831</v>
      </c>
      <c r="AC67" s="36">
        <f t="shared" si="95"/>
        <v>-0.0207562225417077</v>
      </c>
      <c r="AD67" s="35">
        <v>542.10266051435</v>
      </c>
      <c r="AE67" s="36">
        <f t="shared" si="96"/>
        <v>-0.0527956152905613</v>
      </c>
      <c r="AF67" s="35">
        <v>421.64387899066</v>
      </c>
      <c r="AG67" s="36">
        <f t="shared" si="97"/>
        <v>-0.120564032862689</v>
      </c>
      <c r="AH67" s="35">
        <v>401.3318066021</v>
      </c>
      <c r="AI67" s="36">
        <f t="shared" si="98"/>
        <v>-0.152998611576729</v>
      </c>
      <c r="AJ67" s="35">
        <v>428.3788205656</v>
      </c>
      <c r="AK67" s="36">
        <f t="shared" si="99"/>
        <v>-0.142761022609533</v>
      </c>
      <c r="AL67" s="35">
        <v>497.58013452111</v>
      </c>
      <c r="AM67" s="36">
        <f t="shared" si="100"/>
        <v>-0.0723803540494575</v>
      </c>
      <c r="AN67" s="35">
        <v>518.62632882826</v>
      </c>
      <c r="AO67" s="36">
        <f t="shared" si="101"/>
        <v>-0.13561634603273</v>
      </c>
      <c r="AP67" s="35">
        <v>573.01233035058</v>
      </c>
      <c r="AQ67" s="36">
        <f t="shared" si="102"/>
        <v>-0.071156778296309</v>
      </c>
      <c r="AR67" s="35">
        <v>622.59792885272</v>
      </c>
      <c r="AS67" s="36">
        <f t="shared" si="103"/>
        <v>-0.0860244658380477</v>
      </c>
      <c r="AT67" s="35">
        <f t="shared" si="104"/>
        <v>5987.21368509497</v>
      </c>
      <c r="AU67" s="36">
        <f t="shared" si="105"/>
        <v>-0.0501249356601603</v>
      </c>
      <c r="AV67" s="36"/>
      <c r="AW67" s="35">
        <f t="shared" si="106"/>
        <v>5621.96154354904</v>
      </c>
      <c r="AX67" s="35">
        <v>572.141018647</v>
      </c>
      <c r="AY67" s="36">
        <f t="shared" si="107"/>
        <v>0.707823053258411</v>
      </c>
      <c r="AZ67" s="35">
        <v>123.428909948989</v>
      </c>
      <c r="BA67" s="36">
        <f t="shared" si="108"/>
        <v>-0.675144199058016</v>
      </c>
      <c r="BB67" s="35">
        <v>532.79515881265</v>
      </c>
      <c r="BC67" s="36">
        <f t="shared" si="109"/>
        <v>-0.118919931041724</v>
      </c>
      <c r="BD67" s="35">
        <v>614.97343276604</v>
      </c>
      <c r="BE67" s="36">
        <f t="shared" si="110"/>
        <v>0.0369656556526137</v>
      </c>
      <c r="BF67" s="35">
        <v>572.31857164665</v>
      </c>
      <c r="BG67" s="36">
        <f t="shared" si="111"/>
        <v>-0.083876127338962</v>
      </c>
      <c r="BH67" s="35">
        <v>479.448072112823</v>
      </c>
      <c r="BI67" s="36">
        <f t="shared" si="112"/>
        <v>-0.159942172980094</v>
      </c>
      <c r="BJ67" s="35">
        <v>473.82662187744</v>
      </c>
      <c r="BK67" s="36">
        <f t="shared" si="113"/>
        <v>-0.188319794744715</v>
      </c>
      <c r="BL67" s="35">
        <v>499.71925199859</v>
      </c>
      <c r="BM67" s="36">
        <f t="shared" si="114"/>
        <v>-0.21572571376417</v>
      </c>
      <c r="BN67" s="35">
        <v>536.40534317407</v>
      </c>
      <c r="BO67" s="36">
        <f t="shared" si="115"/>
        <v>-0.16757365565215</v>
      </c>
      <c r="BP67" s="35">
        <v>599.99553028093</v>
      </c>
      <c r="BQ67" s="36">
        <f t="shared" si="116"/>
        <v>-0.127958912281345</v>
      </c>
      <c r="BR67" s="35">
        <v>616.90963228386</v>
      </c>
      <c r="BS67" s="36">
        <f t="shared" si="117"/>
        <v>-0.0661792906163875</v>
      </c>
      <c r="BT67" s="35">
        <v>681.19758744264</v>
      </c>
      <c r="BU67" s="36">
        <f t="shared" si="118"/>
        <v>0.037404953963631</v>
      </c>
      <c r="BV67" s="35">
        <f t="shared" si="119"/>
        <v>6303.15913099168</v>
      </c>
      <c r="BW67" s="36">
        <f t="shared" si="120"/>
        <v>-0.0968124073838308</v>
      </c>
      <c r="BX67" s="36"/>
      <c r="BY67" s="50">
        <v>335.011884021236</v>
      </c>
      <c r="BZ67" s="721">
        <f t="shared" si="121"/>
        <v>-0.480384706271845</v>
      </c>
      <c r="CA67" s="50">
        <v>379.949841102059</v>
      </c>
      <c r="CB67" s="721">
        <f t="shared" si="122"/>
        <v>-0.0884087764338688</v>
      </c>
      <c r="CC67" s="41">
        <v>604.70685648648</v>
      </c>
      <c r="CD67" s="721">
        <f t="shared" si="123"/>
        <v>-0.201540206925369</v>
      </c>
      <c r="CE67" s="41">
        <v>593.05091679146</v>
      </c>
      <c r="CF67" s="721">
        <f t="shared" si="124"/>
        <v>-0.189466580388374</v>
      </c>
      <c r="CG67" s="41">
        <v>624.71745221992</v>
      </c>
      <c r="CH67" s="721">
        <f t="shared" si="125"/>
        <v>-0.188266199954021</v>
      </c>
      <c r="CI67" s="702">
        <v>570.732224248965</v>
      </c>
      <c r="CJ67" s="721">
        <f t="shared" si="126"/>
        <v>-0.173487457311819</v>
      </c>
      <c r="CK67" s="702">
        <v>583.760228239661</v>
      </c>
      <c r="CL67" s="721">
        <f t="shared" si="127"/>
        <v>-0.204550141210806</v>
      </c>
      <c r="CM67" s="41">
        <v>637.174086628572</v>
      </c>
      <c r="CN67" s="721">
        <f t="shared" si="128"/>
        <v>-0.135355305794575</v>
      </c>
      <c r="CO67" s="41">
        <v>644.3877549242</v>
      </c>
      <c r="CP67" s="721">
        <f t="shared" si="129"/>
        <v>-0.222038400699648</v>
      </c>
      <c r="CQ67" s="41">
        <v>688.03584914855</v>
      </c>
      <c r="CR67" s="721">
        <f t="shared" si="130"/>
        <v>-0.167994615602662</v>
      </c>
      <c r="CS67" s="41">
        <v>660.62963273867</v>
      </c>
      <c r="CT67" s="721">
        <f t="shared" si="131"/>
        <v>-0.194719805926727</v>
      </c>
      <c r="CU67" s="41">
        <v>656.63614275214</v>
      </c>
      <c r="CV67" s="721">
        <f t="shared" si="132"/>
        <v>-0.199587705021794</v>
      </c>
      <c r="CW67" s="41">
        <f t="shared" si="133"/>
        <v>6978.79286930191</v>
      </c>
      <c r="CX67" s="721">
        <f t="shared" si="134"/>
        <v>-0.203538292404648</v>
      </c>
      <c r="CY67" s="721"/>
      <c r="CZ67" s="721">
        <f t="shared" si="135"/>
        <v>-0.00604497556365247</v>
      </c>
      <c r="DA67" s="721">
        <f t="shared" si="136"/>
        <v>-0.0398325413476571</v>
      </c>
      <c r="DB67" s="721"/>
      <c r="DC67" s="721"/>
      <c r="DD67" s="721"/>
      <c r="DE67" s="721"/>
      <c r="DF67" s="721"/>
      <c r="DG67" s="721"/>
      <c r="DH67" s="721"/>
      <c r="DI67" s="721"/>
      <c r="DJ67" s="721"/>
      <c r="DK67" s="721"/>
      <c r="DL67" s="206"/>
      <c r="DM67" s="742">
        <v>644.730607556949</v>
      </c>
      <c r="DN67" s="742">
        <v>416.798485197895</v>
      </c>
      <c r="DO67" s="731">
        <v>757.341649174261</v>
      </c>
      <c r="DP67" s="731">
        <v>731.679783266217</v>
      </c>
      <c r="DQ67" s="731">
        <v>769.608770984446</v>
      </c>
      <c r="DR67" s="731">
        <v>690.530626906996</v>
      </c>
      <c r="DS67" s="731">
        <v>733.874325062098</v>
      </c>
      <c r="DT67" s="731">
        <v>736.92013713692</v>
      </c>
      <c r="DU67" s="731">
        <v>828.302779345048</v>
      </c>
      <c r="DV67" s="731">
        <v>826.96081305643</v>
      </c>
      <c r="DW67" s="731">
        <v>805.124957343519</v>
      </c>
      <c r="DX67" s="731">
        <v>820.372384172358</v>
      </c>
      <c r="DY67" s="732">
        <v>-0.141473695064276</v>
      </c>
      <c r="DZ67" s="731">
        <f t="shared" si="137"/>
        <v>8762.24531920314</v>
      </c>
      <c r="EA67" s="733">
        <f t="shared" si="138"/>
        <v>-0.129087304675775</v>
      </c>
      <c r="EB67" s="733"/>
      <c r="EC67" s="737">
        <v>918.24455542603</v>
      </c>
      <c r="ED67" s="737">
        <v>338.616725609974</v>
      </c>
      <c r="EE67" s="737">
        <v>746.402462027104</v>
      </c>
      <c r="EF67" s="737">
        <v>947.951072518199</v>
      </c>
      <c r="EG67" s="737">
        <v>905.66414820062</v>
      </c>
      <c r="EH67" s="737">
        <v>925.652121529928</v>
      </c>
      <c r="EI67" s="737">
        <v>817.292828022889</v>
      </c>
      <c r="EJ67" s="737">
        <v>759.659243797184</v>
      </c>
      <c r="EK67" s="737">
        <v>901.234006142626</v>
      </c>
      <c r="EL67" s="737">
        <v>847.48625877198</v>
      </c>
      <c r="EM67" s="737">
        <v>997.22936473386</v>
      </c>
      <c r="EN67" s="737">
        <v>955.55882150143</v>
      </c>
      <c r="EO67" s="724">
        <f t="shared" si="139"/>
        <v>10060.9916082818</v>
      </c>
      <c r="EP67" s="36"/>
      <c r="EQ67" s="740">
        <f>SUM(EC67:EN67)</f>
        <v>10060.9916082818</v>
      </c>
    </row>
    <row r="68" ht="27" customHeight="1" spans="1:147">
      <c r="A68" s="45"/>
      <c r="B68" s="707" t="s">
        <v>91</v>
      </c>
      <c r="C68" s="35">
        <f>C69+C70</f>
        <v>127671.776348118</v>
      </c>
      <c r="D68" s="36">
        <f t="shared" si="83"/>
        <v>0.142713180430926</v>
      </c>
      <c r="E68" s="35">
        <f>E69+E70</f>
        <v>97007.4920940243</v>
      </c>
      <c r="F68" s="36">
        <f t="shared" si="84"/>
        <v>-0.120788057448606</v>
      </c>
      <c r="G68" s="35">
        <f>G69+G70</f>
        <v>134508.476870104</v>
      </c>
      <c r="H68" s="36">
        <f t="shared" si="85"/>
        <v>-0.00502357182711621</v>
      </c>
      <c r="I68" s="35">
        <f>I69+I70</f>
        <v>136531.616291859</v>
      </c>
      <c r="J68" s="36">
        <f t="shared" si="86"/>
        <v>-0.00131720872031327</v>
      </c>
      <c r="K68" s="35">
        <f>K69+K70</f>
        <v>138306.67198406</v>
      </c>
      <c r="L68" s="36">
        <f t="shared" si="87"/>
        <v>0.00527971938885985</v>
      </c>
      <c r="M68" s="35">
        <f>M69+M70</f>
        <v>127948.067322327</v>
      </c>
      <c r="N68" s="36">
        <f t="shared" si="88"/>
        <v>0.0362709815716276</v>
      </c>
      <c r="O68" s="35">
        <f>O69+O70</f>
        <v>117942.261653569</v>
      </c>
      <c r="P68" s="36">
        <f t="shared" si="89"/>
        <v>-0.00866214086082173</v>
      </c>
      <c r="Q68" s="127"/>
      <c r="R68" s="127"/>
      <c r="S68" s="35">
        <f t="shared" si="90"/>
        <v>879916.362564062</v>
      </c>
      <c r="T68" s="36">
        <f t="shared" si="91"/>
        <v>-0.112320500130453</v>
      </c>
      <c r="U68" s="36"/>
      <c r="V68" s="35">
        <f>V69+V70</f>
        <v>111726.878218007</v>
      </c>
      <c r="W68" s="36">
        <f t="shared" si="92"/>
        <v>-0.00996544525277365</v>
      </c>
      <c r="X68" s="35">
        <f>X69+X70</f>
        <v>110334.59328648</v>
      </c>
      <c r="Y68" s="36">
        <f t="shared" si="93"/>
        <v>0.487390697962797</v>
      </c>
      <c r="Z68" s="35">
        <f>Z69+Z70</f>
        <v>135187.601496356</v>
      </c>
      <c r="AA68" s="36">
        <f t="shared" si="94"/>
        <v>0.142722885842768</v>
      </c>
      <c r="AB68" s="35">
        <f>AB69+AB70</f>
        <v>136711.694127533</v>
      </c>
      <c r="AC68" s="36">
        <f t="shared" si="95"/>
        <v>0.125485317775434</v>
      </c>
      <c r="AD68" s="35">
        <f>AD69+AD70</f>
        <v>137580.286676967</v>
      </c>
      <c r="AE68" s="36">
        <f t="shared" si="96"/>
        <v>0.137038870300163</v>
      </c>
      <c r="AF68" s="35">
        <f>AF69+AF70</f>
        <v>123469.700105159</v>
      </c>
      <c r="AG68" s="36">
        <f t="shared" si="97"/>
        <v>0.123514598467273</v>
      </c>
      <c r="AH68" s="35">
        <f>AH69+AH70</f>
        <v>118972.820987573</v>
      </c>
      <c r="AI68" s="36">
        <f t="shared" si="98"/>
        <v>0.0420575972542103</v>
      </c>
      <c r="AJ68" s="35">
        <f>AJ69+AJ70</f>
        <v>117270.996930354</v>
      </c>
      <c r="AK68" s="36">
        <f t="shared" si="99"/>
        <v>-0.00354690107826006</v>
      </c>
      <c r="AL68" s="35">
        <f>AL69+AL70</f>
        <v>126014.44103473</v>
      </c>
      <c r="AM68" s="36">
        <f t="shared" si="100"/>
        <v>0.0147871202751984</v>
      </c>
      <c r="AN68" s="35">
        <f>AN69+AN70</f>
        <v>121371.959374916</v>
      </c>
      <c r="AO68" s="36">
        <f t="shared" si="101"/>
        <v>-0.0588022194669973</v>
      </c>
      <c r="AP68" s="35">
        <f>AP69+AP70</f>
        <v>122087.147205495</v>
      </c>
      <c r="AQ68" s="36">
        <f t="shared" si="102"/>
        <v>-0.0478284822885765</v>
      </c>
      <c r="AR68" s="35">
        <f>AR69+AR70</f>
        <v>130349.30413916</v>
      </c>
      <c r="AS68" s="36">
        <f t="shared" si="103"/>
        <v>-0.0773189561024881</v>
      </c>
      <c r="AT68" s="35">
        <f t="shared" si="104"/>
        <v>1491077.42358273</v>
      </c>
      <c r="AU68" s="36">
        <f t="shared" si="105"/>
        <v>0.055867126956799</v>
      </c>
      <c r="AV68" s="36"/>
      <c r="AW68" s="35">
        <f t="shared" si="106"/>
        <v>1270910.49284669</v>
      </c>
      <c r="AX68" s="35">
        <f>AX69+AX70</f>
        <v>112851.493599164</v>
      </c>
      <c r="AY68" s="36">
        <f t="shared" si="107"/>
        <v>0.480568745527008</v>
      </c>
      <c r="AZ68" s="35">
        <f>AZ69+AZ70</f>
        <v>74179.9672658972</v>
      </c>
      <c r="BA68" s="36">
        <f t="shared" si="108"/>
        <v>-0.230763869638636</v>
      </c>
      <c r="BB68" s="35">
        <f>BB69+BB70</f>
        <v>118303.048946687</v>
      </c>
      <c r="BC68" s="36">
        <f t="shared" si="109"/>
        <v>0.0363386567574158</v>
      </c>
      <c r="BD68" s="35">
        <f>BD69+BD70</f>
        <v>121469.104899341</v>
      </c>
      <c r="BE68" s="36">
        <f t="shared" si="110"/>
        <v>0.0845340411105202</v>
      </c>
      <c r="BF68" s="35">
        <f>BF69+BF70</f>
        <v>120998.754106487</v>
      </c>
      <c r="BG68" s="36">
        <f t="shared" si="111"/>
        <v>0.0663410373668036</v>
      </c>
      <c r="BH68" s="35">
        <f>BH69+BH70</f>
        <v>109895.946411021</v>
      </c>
      <c r="BI68" s="36">
        <f t="shared" si="112"/>
        <v>0.0171922769822668</v>
      </c>
      <c r="BJ68" s="35">
        <f>BJ69+BJ70</f>
        <v>114171.060506696</v>
      </c>
      <c r="BK68" s="36">
        <f t="shared" si="113"/>
        <v>0.061975400726525</v>
      </c>
      <c r="BL68" s="35">
        <f>BL69+BL70</f>
        <v>117688.426135914</v>
      </c>
      <c r="BM68" s="36">
        <f t="shared" si="114"/>
        <v>0.084006038953125</v>
      </c>
      <c r="BN68" s="35">
        <f>BN69+BN70</f>
        <v>124178.203011245</v>
      </c>
      <c r="BO68" s="36">
        <f t="shared" si="115"/>
        <v>0.0914235742023686</v>
      </c>
      <c r="BP68" s="35">
        <f>BP69+BP70</f>
        <v>128954.787065246</v>
      </c>
      <c r="BQ68" s="36">
        <f t="shared" si="116"/>
        <v>0.085073478325137</v>
      </c>
      <c r="BR68" s="35">
        <f>BR69+BR70</f>
        <v>128219.700898989</v>
      </c>
      <c r="BS68" s="36">
        <f t="shared" si="117"/>
        <v>0.064138410778376</v>
      </c>
      <c r="BT68" s="35">
        <f>BT69+BT70</f>
        <v>141272.333490833</v>
      </c>
      <c r="BU68" s="36">
        <f t="shared" si="118"/>
        <v>0.088732437466958</v>
      </c>
      <c r="BV68" s="35">
        <f t="shared" si="119"/>
        <v>1412182.82633752</v>
      </c>
      <c r="BW68" s="36">
        <f t="shared" si="120"/>
        <v>0.0704294742831051</v>
      </c>
      <c r="BX68" s="36"/>
      <c r="BY68" s="41">
        <f>BY69+BY70</f>
        <v>76221.7181337258</v>
      </c>
      <c r="BZ68" s="721">
        <f t="shared" si="121"/>
        <v>-0.0694840595123669</v>
      </c>
      <c r="CA68" s="41">
        <f>CA69+CA70</f>
        <v>96433.2853567989</v>
      </c>
      <c r="CB68" s="721">
        <f t="shared" si="122"/>
        <v>0.671532394782709</v>
      </c>
      <c r="CC68" s="41">
        <f>SUM(CC69:CC70)</f>
        <v>114154.816261359</v>
      </c>
      <c r="CD68" s="721">
        <f t="shared" si="123"/>
        <v>0.302468826297233</v>
      </c>
      <c r="CE68" s="41">
        <v>112001.19156699</v>
      </c>
      <c r="CF68" s="721">
        <f t="shared" si="124"/>
        <v>0.266666201608959</v>
      </c>
      <c r="CG68" s="41">
        <v>113470.972105958</v>
      </c>
      <c r="CH68" s="721">
        <f t="shared" si="125"/>
        <v>0.231484716277139</v>
      </c>
      <c r="CI68" s="41">
        <f>CI69+CI70</f>
        <v>108038.518279997</v>
      </c>
      <c r="CJ68" s="721">
        <f t="shared" si="126"/>
        <v>0.280730895968019</v>
      </c>
      <c r="CK68" s="41">
        <f>CK69+CK70</f>
        <v>107508.196921124</v>
      </c>
      <c r="CL68" s="721">
        <f t="shared" si="127"/>
        <v>0.233275033054476</v>
      </c>
      <c r="CM68" s="41">
        <v>108568.053965429</v>
      </c>
      <c r="CN68" s="721">
        <f t="shared" si="128"/>
        <v>0.246343575325666</v>
      </c>
      <c r="CO68" s="41">
        <f>SUM(CO69:CO70)</f>
        <v>113776.36139296</v>
      </c>
      <c r="CP68" s="721">
        <f t="shared" si="129"/>
        <v>0.114140288492671</v>
      </c>
      <c r="CQ68" s="41">
        <f>SUM(CQ69:CQ70)</f>
        <v>118844.289940893</v>
      </c>
      <c r="CR68" s="721">
        <f t="shared" si="130"/>
        <v>0.0955947554234911</v>
      </c>
      <c r="CS68" s="41">
        <f>CS69+CS70</f>
        <v>120491.563503663</v>
      </c>
      <c r="CT68" s="721">
        <f t="shared" si="131"/>
        <v>0.0484045267329427</v>
      </c>
      <c r="CU68" s="41">
        <f>CU69+CU70</f>
        <v>129758.541795188</v>
      </c>
      <c r="CV68" s="721">
        <f t="shared" si="132"/>
        <v>0.12903707649379</v>
      </c>
      <c r="CW68" s="41">
        <f t="shared" si="133"/>
        <v>1319267.50922409</v>
      </c>
      <c r="CX68" s="721">
        <f t="shared" si="134"/>
        <v>0.200181248475507</v>
      </c>
      <c r="CY68" s="721"/>
      <c r="CZ68" s="721">
        <f t="shared" si="135"/>
        <v>0.0769097688008995</v>
      </c>
      <c r="DA68" s="721">
        <f t="shared" si="136"/>
        <v>0.0138607716331054</v>
      </c>
      <c r="DB68" s="721"/>
      <c r="DC68" s="721"/>
      <c r="DD68" s="721"/>
      <c r="DE68" s="721"/>
      <c r="DF68" s="721"/>
      <c r="DG68" s="721"/>
      <c r="DH68" s="721"/>
      <c r="DI68" s="721"/>
      <c r="DJ68" s="721"/>
      <c r="DK68" s="721"/>
      <c r="DM68" s="41">
        <v>81913.3932233145</v>
      </c>
      <c r="DN68" s="41">
        <v>57691.5443923148</v>
      </c>
      <c r="DO68" s="41">
        <v>87644.9508476053</v>
      </c>
      <c r="DP68" s="41">
        <v>88422.02580658</v>
      </c>
      <c r="DQ68" s="41">
        <v>92141.59997778</v>
      </c>
      <c r="DR68" s="41">
        <v>84356.9235505465</v>
      </c>
      <c r="DS68" s="41">
        <v>87172.9290220495</v>
      </c>
      <c r="DT68" s="41">
        <v>87109.2499009035</v>
      </c>
      <c r="DU68" s="41">
        <v>102120.318749885</v>
      </c>
      <c r="DV68" s="41">
        <v>108474.679485806</v>
      </c>
      <c r="DW68" s="41">
        <v>107247.445225486</v>
      </c>
      <c r="DX68" s="41">
        <v>114928.503675142</v>
      </c>
      <c r="DY68" s="721">
        <v>0.0748825826014006</v>
      </c>
      <c r="DZ68" s="41">
        <f t="shared" si="137"/>
        <v>1099223.56385741</v>
      </c>
      <c r="EA68" s="36">
        <f t="shared" si="138"/>
        <v>-0.0295871124410582</v>
      </c>
      <c r="EB68" s="36"/>
      <c r="EC68" s="737">
        <f t="shared" ref="EC68:EN68" si="145">EC69+EC70</f>
        <v>103758.982082049</v>
      </c>
      <c r="ED68" s="737">
        <f t="shared" si="145"/>
        <v>48600.3943692023</v>
      </c>
      <c r="EE68" s="737">
        <f t="shared" si="145"/>
        <v>81701.3523654401</v>
      </c>
      <c r="EF68" s="737">
        <f t="shared" si="145"/>
        <v>98312.864053687</v>
      </c>
      <c r="EG68" s="737">
        <f t="shared" si="145"/>
        <v>99612.534724186</v>
      </c>
      <c r="EH68" s="737">
        <f t="shared" si="145"/>
        <v>101061.119768491</v>
      </c>
      <c r="EI68" s="737">
        <f t="shared" si="145"/>
        <v>90880.0830040922</v>
      </c>
      <c r="EJ68" s="737">
        <f t="shared" si="145"/>
        <v>90997.4693341833</v>
      </c>
      <c r="EK68" s="737">
        <f t="shared" si="145"/>
        <v>102934.964212502</v>
      </c>
      <c r="EL68" s="737">
        <f t="shared" si="145"/>
        <v>95041.3045193578</v>
      </c>
      <c r="EM68" s="50">
        <f t="shared" si="145"/>
        <v>112915.027739401</v>
      </c>
      <c r="EN68" s="50">
        <f t="shared" si="145"/>
        <v>106921.914575074</v>
      </c>
      <c r="EO68" s="724">
        <f t="shared" si="139"/>
        <v>1132738.01074766</v>
      </c>
      <c r="EP68" s="36"/>
      <c r="EQ68" s="738"/>
    </row>
    <row r="69" ht="27" customHeight="1" spans="1:147">
      <c r="A69" s="45"/>
      <c r="B69" s="707" t="s">
        <v>92</v>
      </c>
      <c r="C69" s="35">
        <v>87883.3439</v>
      </c>
      <c r="D69" s="36">
        <f t="shared" ref="D69:D100" si="146">C69/V69-1</f>
        <v>0.100321460054895</v>
      </c>
      <c r="E69" s="35">
        <v>85275.3576</v>
      </c>
      <c r="F69" s="36">
        <f t="shared" ref="F69:F100" si="147">E69/X69-1</f>
        <v>0.0898109425119771</v>
      </c>
      <c r="G69" s="35">
        <v>110376.3421</v>
      </c>
      <c r="H69" s="36">
        <f t="shared" ref="H69:H100" si="148">G69/Z69-1</f>
        <v>0.318672216220208</v>
      </c>
      <c r="I69" s="35">
        <v>94294.5405</v>
      </c>
      <c r="J69" s="36">
        <f t="shared" ref="J69:J100" si="149">I69/AB69-1</f>
        <v>0.0978079604973578</v>
      </c>
      <c r="K69" s="35">
        <v>99094.4628</v>
      </c>
      <c r="L69" s="36">
        <f t="shared" ref="L69:L100" si="150">K69/AD69-1</f>
        <v>0.0941662596714907</v>
      </c>
      <c r="M69" s="35">
        <v>99634.9014</v>
      </c>
      <c r="N69" s="36">
        <f t="shared" ref="N69:N100" si="151">M69/AF69-1</f>
        <v>0.146856936607682</v>
      </c>
      <c r="O69" s="35">
        <v>78790.0182</v>
      </c>
      <c r="P69" s="36">
        <f t="shared" ref="P69:P100" si="152">O69/AH69-1</f>
        <v>0.00436120840704923</v>
      </c>
      <c r="Q69" s="127"/>
      <c r="R69" s="127"/>
      <c r="S69" s="35">
        <f t="shared" ref="S69:S100" si="153">C69+E69+G69+I69+K69+M69+O69+Q69</f>
        <v>655348.9665</v>
      </c>
      <c r="T69" s="36">
        <f t="shared" ref="T69:T100" si="154">S69/SUM(V69,X69,Z69,AB69,AD69,AF69,AH69,AJ69)-1</f>
        <v>-0.0112848759371815</v>
      </c>
      <c r="U69" s="36"/>
      <c r="V69" s="35">
        <v>79870.6079</v>
      </c>
      <c r="W69" s="36">
        <f t="shared" ref="W69:W100" si="155">V69/AX69-1</f>
        <v>0.2830962211144</v>
      </c>
      <c r="X69" s="35">
        <v>78247.8449</v>
      </c>
      <c r="Y69" s="36">
        <f t="shared" ref="Y69:Y100" si="156">X69/AZ69-1</f>
        <v>0.349588806392218</v>
      </c>
      <c r="Z69" s="35">
        <v>83702.6372</v>
      </c>
      <c r="AA69" s="36">
        <f t="shared" ref="AA69:AA100" si="157">Z69/BB69-1</f>
        <v>0.328169060610417</v>
      </c>
      <c r="AB69" s="35">
        <v>85893.4749</v>
      </c>
      <c r="AC69" s="36">
        <f t="shared" ref="AC69:AC100" si="158">AB69/BD69-1</f>
        <v>0.343344137028333</v>
      </c>
      <c r="AD69" s="35">
        <v>90566.184</v>
      </c>
      <c r="AE69" s="36">
        <f t="shared" ref="AE69:AE100" si="159">AD69/BF69-1</f>
        <v>0.376946014230814</v>
      </c>
      <c r="AF69" s="35">
        <v>86876.4867</v>
      </c>
      <c r="AG69" s="36">
        <f t="shared" ref="AG69:AG100" si="160">AF69/BH69-1</f>
        <v>0.311744209041343</v>
      </c>
      <c r="AH69" s="35">
        <v>78447.8906</v>
      </c>
      <c r="AI69" s="36">
        <f t="shared" ref="AI69:AI100" si="161">AH69/BJ69-1</f>
        <v>0.096512441625374</v>
      </c>
      <c r="AJ69" s="35">
        <v>79223.7823</v>
      </c>
      <c r="AK69" s="36">
        <f t="shared" ref="AK69:AK100" si="162">AJ69/BL69-1</f>
        <v>-0.015097560067444</v>
      </c>
      <c r="AL69" s="35">
        <v>81850.2812</v>
      </c>
      <c r="AM69" s="36">
        <f t="shared" ref="AM69:AM100" si="163">AL69/BN69-1</f>
        <v>-0.0187016950825142</v>
      </c>
      <c r="AN69" s="35">
        <v>76478.9292</v>
      </c>
      <c r="AO69" s="36">
        <f t="shared" ref="AO69:AO100" si="164">AN69/BP69-1</f>
        <v>-0.0655291613876156</v>
      </c>
      <c r="AP69" s="35">
        <v>74461.9166</v>
      </c>
      <c r="AQ69" s="36">
        <f t="shared" ref="AQ69:AQ100" si="165">AP69/BR69-1</f>
        <v>-0.065097307700843</v>
      </c>
      <c r="AR69" s="35">
        <v>73869.1869</v>
      </c>
      <c r="AS69" s="36">
        <f t="shared" ref="AS69:AS100" si="166">AR69/BT69-1</f>
        <v>-0.0762628769053075</v>
      </c>
      <c r="AT69" s="35">
        <f t="shared" ref="AT69:AT100" si="167">V69+X69+Z69+AB69+AD69+AF69+AH69+AJ69+AL69+AN69+AP69+AR69</f>
        <v>969489.2224</v>
      </c>
      <c r="AU69" s="36">
        <f t="shared" ref="AU69:AU100" si="168">AT69/SUM(AX69,AZ69,BB69,BD69,BF69,BH69,BJ69,BL69,BN69,BP69,BR69,BT69)-1</f>
        <v>0.13252878948807</v>
      </c>
      <c r="AV69" s="36"/>
      <c r="AW69" s="35">
        <f t="shared" ref="AW69:AW100" si="169">AX69+AZ69+BB69+BD69+BF69+BH69+BJ69+BL69+BN69+BP69+BR69</f>
        <v>776071.6038</v>
      </c>
      <c r="AX69" s="35">
        <v>62248.3385</v>
      </c>
      <c r="AY69" s="36">
        <f t="shared" ref="AY69:AY100" si="170">AX69/BY69-1</f>
        <v>0.728334860870439</v>
      </c>
      <c r="AZ69" s="35">
        <v>57979.0263</v>
      </c>
      <c r="BA69" s="36">
        <f t="shared" ref="BA69:BA100" si="171">AZ69/CA69-1</f>
        <v>0.104675083470626</v>
      </c>
      <c r="BB69" s="35">
        <v>63021.0714</v>
      </c>
      <c r="BC69" s="36">
        <f t="shared" ref="BC69:BC100" si="172">BB69/CC69-1</f>
        <v>0.229159431963163</v>
      </c>
      <c r="BD69" s="35">
        <v>63940.0378</v>
      </c>
      <c r="BE69" s="36">
        <f t="shared" ref="BE69:BE100" si="173">BD69/CE69-1</f>
        <v>0.212141754787273</v>
      </c>
      <c r="BF69" s="35">
        <v>65773.2279</v>
      </c>
      <c r="BG69" s="36">
        <f t="shared" ref="BG69:BG100" si="174">BF69/CG69-1</f>
        <v>0.259776162801566</v>
      </c>
      <c r="BH69" s="35">
        <v>66229.7467</v>
      </c>
      <c r="BI69" s="36">
        <f t="shared" ref="BI69:BI100" si="175">BH69/CI69-1</f>
        <v>0.256170002333947</v>
      </c>
      <c r="BJ69" s="35">
        <v>71543.0921</v>
      </c>
      <c r="BK69" s="36">
        <f t="shared" ref="BK69:BK100" si="176">BJ69/CK69-1</f>
        <v>0.378812053735491</v>
      </c>
      <c r="BL69" s="35">
        <v>80438.2029</v>
      </c>
      <c r="BM69" s="36">
        <f t="shared" ref="BM69:BM100" si="177">BL69/CM69-1</f>
        <v>0.745310036259431</v>
      </c>
      <c r="BN69" s="35">
        <v>83410.1932</v>
      </c>
      <c r="BO69" s="36">
        <f t="shared" ref="BO69:BO100" si="178">BN69/CO69-1</f>
        <v>0.753171724330126</v>
      </c>
      <c r="BP69" s="35">
        <v>81841.9645</v>
      </c>
      <c r="BQ69" s="36">
        <f t="shared" ref="BQ69:BQ100" si="179">BP69/CQ69-1</f>
        <v>0.657414409272912</v>
      </c>
      <c r="BR69" s="35">
        <v>79646.7025</v>
      </c>
      <c r="BS69" s="36">
        <f t="shared" ref="BS69:BS100" si="180">BR69/CS69-1</f>
        <v>0.515930793053705</v>
      </c>
      <c r="BT69" s="35">
        <v>79967.7582</v>
      </c>
      <c r="BU69" s="36">
        <f t="shared" ref="BU69:BU100" si="181">BT69/CU69-1</f>
        <v>0.446643068881503</v>
      </c>
      <c r="BV69" s="35">
        <f t="shared" ref="BV69:BV100" si="182">AX69+AZ69+BB69+BD69+BF69+BH69+BJ69+BL69+BN69+BP69+BR69+BT69</f>
        <v>856039.362</v>
      </c>
      <c r="BW69" s="36">
        <f t="shared" ref="BW69:BW100" si="183">BV69/SUM(BY69,CA69,CC69,CE69,CG69,CI69,CK69,CM69,CO69,CQ69,CS69,CU69)-1</f>
        <v>0.426241854123683</v>
      </c>
      <c r="BX69" s="36"/>
      <c r="BY69" s="50">
        <v>36016.3646</v>
      </c>
      <c r="BZ69" s="721">
        <f t="shared" ref="BZ69:BZ100" si="184">BY69/DM69-1</f>
        <v>1.55648819929583</v>
      </c>
      <c r="CA69" s="50">
        <v>52485.1399</v>
      </c>
      <c r="CB69" s="721">
        <f t="shared" ref="CB69:CB100" si="185">CA69/DN69-1</f>
        <v>2.62168402192897</v>
      </c>
      <c r="CC69" s="41">
        <v>51271.6819</v>
      </c>
      <c r="CD69" s="721">
        <f t="shared" ref="CD69:CD100" si="186">CC69/DO69-1</f>
        <v>4.1302677951965</v>
      </c>
      <c r="CE69" s="41">
        <v>52749.6372</v>
      </c>
      <c r="CF69" s="721">
        <f t="shared" ref="CF69:CF100" si="187">CE69/DP69-1</f>
        <v>5.27046686437258</v>
      </c>
      <c r="CG69" s="41">
        <v>52210.2496</v>
      </c>
      <c r="CH69" s="721">
        <f t="shared" ref="CH69:CH100" si="188">CG69/DQ69-1</f>
        <v>4.61204678934844</v>
      </c>
      <c r="CI69" s="702">
        <v>52723.5538</v>
      </c>
      <c r="CJ69" s="721">
        <f t="shared" ref="CJ69:CJ100" si="189">CI69/DR69-1</f>
        <v>4.73417456008729</v>
      </c>
      <c r="CK69" s="702">
        <v>51887.4867</v>
      </c>
      <c r="CL69" s="721">
        <f t="shared" ref="CL69:CL100" si="190">CK69/DS69-1</f>
        <v>5.20444824166938</v>
      </c>
      <c r="CM69" s="41">
        <v>46088.2028</v>
      </c>
      <c r="CN69" s="721">
        <f t="shared" ref="CN69:CN100" si="191">CM69/DT69-1</f>
        <v>4.26523712969754</v>
      </c>
      <c r="CO69" s="702">
        <v>47576.7388</v>
      </c>
      <c r="CP69" s="721">
        <f t="shared" ref="CP69:CP100" si="192">CO69/DU69-1</f>
        <v>3.39861978158662</v>
      </c>
      <c r="CQ69" s="702">
        <v>49379.3007</v>
      </c>
      <c r="CR69" s="721">
        <f t="shared" ref="CR69:CR100" si="193">CQ69/DV69-1</f>
        <v>3.02317527617049</v>
      </c>
      <c r="CS69" s="50">
        <v>52539.8012</v>
      </c>
      <c r="CT69" s="721">
        <f t="shared" ref="CT69:CT100" si="194">CS69/DX69-1</f>
        <v>2.10025255706453</v>
      </c>
      <c r="CU69" s="50">
        <v>55278.1539</v>
      </c>
      <c r="CV69" s="721">
        <f t="shared" ref="CV69:CV100" si="195">CU69/DX69-1</f>
        <v>2.26183643759736</v>
      </c>
      <c r="CW69" s="41">
        <f t="shared" ref="CW69:CW100" si="196">BY69+CA69+CC69+CE69+CG69+CI69+CK69+CM69+CO69+CQ69+CS69+CU69</f>
        <v>600206.3111</v>
      </c>
      <c r="CX69" s="721">
        <f t="shared" ref="CX69:CX100" si="197">CW69/SUM(DM69:DX69)-1</f>
        <v>3.43613227860719</v>
      </c>
      <c r="CY69" s="721"/>
      <c r="CZ69" s="721">
        <f t="shared" ref="CZ69:CZ100" si="198">CU69/CS69-1</f>
        <v>0.0521195862461694</v>
      </c>
      <c r="DA69" s="721">
        <f t="shared" ref="DA69:DA100" si="199">CS69/CQ69-1</f>
        <v>0.0640045617332934</v>
      </c>
      <c r="DB69" s="721"/>
      <c r="DC69" s="721"/>
      <c r="DD69" s="721"/>
      <c r="DE69" s="721"/>
      <c r="DF69" s="721"/>
      <c r="DG69" s="721"/>
      <c r="DH69" s="721"/>
      <c r="DI69" s="721"/>
      <c r="DJ69" s="721"/>
      <c r="DK69" s="721"/>
      <c r="DM69" s="50">
        <v>14088.2186</v>
      </c>
      <c r="DN69" s="50">
        <v>14491.9158</v>
      </c>
      <c r="DO69" s="41">
        <v>9993.9582</v>
      </c>
      <c r="DP69" s="41">
        <v>8412.3939</v>
      </c>
      <c r="DQ69" s="41">
        <v>9303.2456</v>
      </c>
      <c r="DR69" s="41">
        <v>9194.6196</v>
      </c>
      <c r="DS69" s="41">
        <v>8362.9494</v>
      </c>
      <c r="DT69" s="41">
        <v>8753.3005</v>
      </c>
      <c r="DU69" s="41">
        <v>10816.2881</v>
      </c>
      <c r="DV69" s="41">
        <v>12273.7135</v>
      </c>
      <c r="DW69" s="41">
        <v>12661.9166</v>
      </c>
      <c r="DX69" s="41">
        <v>16946.9423</v>
      </c>
      <c r="DY69" s="721">
        <v>1.05943654732507</v>
      </c>
      <c r="DZ69" s="41">
        <f t="shared" ref="DZ69:DZ100" si="200">SUM(DM69:DX69)</f>
        <v>135299.4621</v>
      </c>
      <c r="EA69" s="36">
        <f t="shared" ref="EA69:EA100" si="201">IFERROR(DZ69/SUM(EC69:EN69)-1,"")</f>
        <v>0.58672793319886</v>
      </c>
      <c r="EB69" s="36"/>
      <c r="EC69" s="737">
        <v>9102.8013</v>
      </c>
      <c r="ED69" s="737">
        <v>5915.8161</v>
      </c>
      <c r="EE69" s="737">
        <v>6278.2211</v>
      </c>
      <c r="EF69" s="737">
        <v>6371.62929</v>
      </c>
      <c r="EG69" s="737">
        <v>6523.0992</v>
      </c>
      <c r="EH69" s="737">
        <v>6833.2607</v>
      </c>
      <c r="EI69" s="737">
        <v>7011.0955</v>
      </c>
      <c r="EJ69" s="737">
        <v>6765.953</v>
      </c>
      <c r="EK69" s="737">
        <v>7283.5645</v>
      </c>
      <c r="EL69" s="737">
        <v>7373.2724</v>
      </c>
      <c r="EM69" s="737">
        <v>7581.8428</v>
      </c>
      <c r="EN69" s="737">
        <v>8228.9218</v>
      </c>
      <c r="EO69" s="717">
        <f t="shared" ref="EO69:EO100" si="202">SUM(EC69:EN69)</f>
        <v>85269.47769</v>
      </c>
      <c r="EP69" s="36"/>
      <c r="EQ69" s="740">
        <f>SUM(EC69:EN69)</f>
        <v>85269.47769</v>
      </c>
    </row>
    <row r="70" ht="27" customHeight="1" spans="1:147">
      <c r="A70" s="29"/>
      <c r="B70" s="707" t="s">
        <v>93</v>
      </c>
      <c r="C70" s="35">
        <v>39788.432448118</v>
      </c>
      <c r="D70" s="36">
        <f t="shared" si="146"/>
        <v>0.248998456219992</v>
      </c>
      <c r="E70" s="35">
        <v>11732.1344940243</v>
      </c>
      <c r="F70" s="36">
        <f t="shared" si="147"/>
        <v>-0.63436200038993</v>
      </c>
      <c r="G70" s="35">
        <v>24132.1347701035</v>
      </c>
      <c r="H70" s="36">
        <f t="shared" si="148"/>
        <v>-0.531278012912762</v>
      </c>
      <c r="I70" s="35">
        <v>42237.075791859</v>
      </c>
      <c r="J70" s="36">
        <f t="shared" si="149"/>
        <v>-0.168859585520944</v>
      </c>
      <c r="K70" s="35">
        <v>39212.2091840604</v>
      </c>
      <c r="L70" s="36">
        <f t="shared" si="150"/>
        <v>-0.16594794005776</v>
      </c>
      <c r="M70" s="35">
        <v>28313.1659223273</v>
      </c>
      <c r="N70" s="36">
        <f t="shared" si="151"/>
        <v>-0.226272762415124</v>
      </c>
      <c r="O70" s="35">
        <v>39152.2434535694</v>
      </c>
      <c r="P70" s="36">
        <f t="shared" si="152"/>
        <v>-0.0338726537189717</v>
      </c>
      <c r="Q70" s="127"/>
      <c r="R70" s="127"/>
      <c r="S70" s="35">
        <f t="shared" si="153"/>
        <v>224567.396064062</v>
      </c>
      <c r="T70" s="36">
        <f t="shared" si="154"/>
        <v>-0.316230669101238</v>
      </c>
      <c r="U70" s="36"/>
      <c r="V70" s="35">
        <v>31856.2703180074</v>
      </c>
      <c r="W70" s="36">
        <f t="shared" si="155"/>
        <v>-0.370468693985962</v>
      </c>
      <c r="X70" s="35">
        <v>32086.7483864803</v>
      </c>
      <c r="Y70" s="36">
        <f t="shared" si="156"/>
        <v>0.980548441848072</v>
      </c>
      <c r="Z70" s="35">
        <v>51484.964296356</v>
      </c>
      <c r="AA70" s="36">
        <f t="shared" si="157"/>
        <v>-0.068684468588772</v>
      </c>
      <c r="AB70" s="35">
        <v>50818.2192275326</v>
      </c>
      <c r="AC70" s="36">
        <f t="shared" si="158"/>
        <v>-0.116651428750275</v>
      </c>
      <c r="AD70" s="35">
        <v>47014.1026769671</v>
      </c>
      <c r="AE70" s="36">
        <f t="shared" si="159"/>
        <v>-0.148688914231754</v>
      </c>
      <c r="AF70" s="35">
        <v>36593.2134051587</v>
      </c>
      <c r="AG70" s="36">
        <f t="shared" si="160"/>
        <v>-0.161978517770501</v>
      </c>
      <c r="AH70" s="35">
        <v>40524.9303875731</v>
      </c>
      <c r="AI70" s="36">
        <f t="shared" si="161"/>
        <v>-0.0493346996755523</v>
      </c>
      <c r="AJ70" s="35">
        <v>38047.2146303536</v>
      </c>
      <c r="AK70" s="36">
        <f t="shared" si="162"/>
        <v>0.0213956139106142</v>
      </c>
      <c r="AL70" s="35">
        <v>44164.1598347305</v>
      </c>
      <c r="AM70" s="36">
        <f t="shared" si="163"/>
        <v>0.0833042878278674</v>
      </c>
      <c r="AN70" s="35">
        <v>44893.0301749156</v>
      </c>
      <c r="AO70" s="36">
        <f t="shared" si="164"/>
        <v>-0.0471165230496714</v>
      </c>
      <c r="AP70" s="35">
        <v>47625.2306054953</v>
      </c>
      <c r="AQ70" s="36">
        <f t="shared" si="165"/>
        <v>-0.0195122357015872</v>
      </c>
      <c r="AR70" s="35">
        <v>56480.1172391595</v>
      </c>
      <c r="AS70" s="36">
        <f t="shared" si="166"/>
        <v>-0.0786965414699674</v>
      </c>
      <c r="AT70" s="35">
        <f t="shared" si="167"/>
        <v>521588.20118273</v>
      </c>
      <c r="AU70" s="36">
        <f t="shared" si="168"/>
        <v>-0.0621337215496232</v>
      </c>
      <c r="AV70" s="36"/>
      <c r="AW70" s="35">
        <f t="shared" si="169"/>
        <v>494838.889046687</v>
      </c>
      <c r="AX70" s="35">
        <v>50603.1550991636</v>
      </c>
      <c r="AY70" s="36">
        <f t="shared" si="170"/>
        <v>0.258617339522104</v>
      </c>
      <c r="AZ70" s="35">
        <v>16200.9409658972</v>
      </c>
      <c r="BA70" s="36">
        <f t="shared" si="171"/>
        <v>-0.631362352210681</v>
      </c>
      <c r="BB70" s="35">
        <v>55281.9775466866</v>
      </c>
      <c r="BC70" s="36">
        <f t="shared" si="172"/>
        <v>-0.120877511782291</v>
      </c>
      <c r="BD70" s="35">
        <v>57529.0670993412</v>
      </c>
      <c r="BE70" s="36">
        <f t="shared" si="173"/>
        <v>-0.0290707524224602</v>
      </c>
      <c r="BF70" s="35">
        <v>55225.5262064869</v>
      </c>
      <c r="BG70" s="36">
        <f t="shared" si="174"/>
        <v>-0.0985165706931423</v>
      </c>
      <c r="BH70" s="35">
        <v>43666.1997110205</v>
      </c>
      <c r="BI70" s="36">
        <f t="shared" si="175"/>
        <v>-0.210589754119593</v>
      </c>
      <c r="BJ70" s="35">
        <v>42627.9684066964</v>
      </c>
      <c r="BK70" s="36">
        <f t="shared" si="176"/>
        <v>-0.233595395721733</v>
      </c>
      <c r="BL70" s="35">
        <v>37250.2232359138</v>
      </c>
      <c r="BM70" s="36">
        <f t="shared" si="177"/>
        <v>-0.403804225824967</v>
      </c>
      <c r="BN70" s="35">
        <v>40768.0098112452</v>
      </c>
      <c r="BO70" s="36">
        <f t="shared" si="178"/>
        <v>-0.384165525203758</v>
      </c>
      <c r="BP70" s="35">
        <v>47112.8225652461</v>
      </c>
      <c r="BQ70" s="36">
        <f t="shared" si="179"/>
        <v>-0.321776004285172</v>
      </c>
      <c r="BR70" s="35">
        <v>48572.9983989892</v>
      </c>
      <c r="BS70" s="36">
        <f t="shared" si="180"/>
        <v>-0.285184125439949</v>
      </c>
      <c r="BT70" s="35">
        <v>61304.5752908333</v>
      </c>
      <c r="BU70" s="36">
        <f t="shared" si="181"/>
        <v>-0.17690311472191</v>
      </c>
      <c r="BV70" s="35">
        <f t="shared" si="182"/>
        <v>556143.46433752</v>
      </c>
      <c r="BW70" s="36">
        <f t="shared" si="183"/>
        <v>-0.226570053024126</v>
      </c>
      <c r="BX70" s="36"/>
      <c r="BY70" s="50">
        <v>40205.3535337258</v>
      </c>
      <c r="BZ70" s="721">
        <f t="shared" si="184"/>
        <v>-0.407220788490157</v>
      </c>
      <c r="CA70" s="50">
        <v>43948.1454567989</v>
      </c>
      <c r="CB70" s="721">
        <f t="shared" si="185"/>
        <v>0.0173269282370001</v>
      </c>
      <c r="CC70" s="41">
        <v>62883.1343613592</v>
      </c>
      <c r="CD70" s="721">
        <f t="shared" si="186"/>
        <v>-0.190182479099339</v>
      </c>
      <c r="CE70" s="41">
        <v>59251.5543669899</v>
      </c>
      <c r="CF70" s="721">
        <f t="shared" si="187"/>
        <v>-0.259444732402062</v>
      </c>
      <c r="CG70" s="41">
        <v>61260.7225059581</v>
      </c>
      <c r="CH70" s="721">
        <f t="shared" si="188"/>
        <v>-0.260478760519774</v>
      </c>
      <c r="CI70" s="50">
        <v>55314.9644799971</v>
      </c>
      <c r="CJ70" s="721">
        <f t="shared" si="189"/>
        <v>-0.264059753724528</v>
      </c>
      <c r="CK70" s="702">
        <v>55620.7102211236</v>
      </c>
      <c r="CL70" s="721">
        <f t="shared" si="190"/>
        <v>-0.294242804174486</v>
      </c>
      <c r="CM70" s="41">
        <v>62479.851165429</v>
      </c>
      <c r="CN70" s="721">
        <f t="shared" si="191"/>
        <v>-0.202615096324663</v>
      </c>
      <c r="CO70" s="41">
        <v>66199.6225929604</v>
      </c>
      <c r="CP70" s="721">
        <f t="shared" si="192"/>
        <v>-0.27495399576816</v>
      </c>
      <c r="CQ70" s="41">
        <v>69464.9892408932</v>
      </c>
      <c r="CR70" s="721">
        <f t="shared" si="193"/>
        <v>-0.277917965489637</v>
      </c>
      <c r="CS70" s="41">
        <v>67951.7623036625</v>
      </c>
      <c r="CT70" s="721">
        <f t="shared" si="194"/>
        <v>-0.306484185902124</v>
      </c>
      <c r="CU70" s="41">
        <v>74480.3878951881</v>
      </c>
      <c r="CV70" s="721">
        <f t="shared" si="195"/>
        <v>-0.239853020814547</v>
      </c>
      <c r="CW70" s="41">
        <f t="shared" si="196"/>
        <v>719061.198124086</v>
      </c>
      <c r="CX70" s="721">
        <f t="shared" si="197"/>
        <v>-0.254027161668534</v>
      </c>
      <c r="CY70" s="721"/>
      <c r="CZ70" s="721">
        <f t="shared" si="198"/>
        <v>0.0960773550265042</v>
      </c>
      <c r="DA70" s="721">
        <f t="shared" si="199"/>
        <v>-0.0217840232002784</v>
      </c>
      <c r="DB70" s="721"/>
      <c r="DC70" s="721"/>
      <c r="DD70" s="721"/>
      <c r="DE70" s="721"/>
      <c r="DF70" s="721"/>
      <c r="DG70" s="721"/>
      <c r="DH70" s="721"/>
      <c r="DI70" s="721"/>
      <c r="DJ70" s="721"/>
      <c r="DK70" s="721"/>
      <c r="DL70" s="21"/>
      <c r="DM70" s="745">
        <v>67825.1746233145</v>
      </c>
      <c r="DN70" s="745">
        <v>43199.6285923148</v>
      </c>
      <c r="DO70" s="727">
        <v>77650.9926476053</v>
      </c>
      <c r="DP70" s="727">
        <v>80009.63190658</v>
      </c>
      <c r="DQ70" s="727">
        <v>82838.3543777801</v>
      </c>
      <c r="DR70" s="727">
        <v>75162.3039505465</v>
      </c>
      <c r="DS70" s="727">
        <v>78809.9796220495</v>
      </c>
      <c r="DT70" s="727">
        <v>78355.9494009035</v>
      </c>
      <c r="DU70" s="727">
        <v>91304.0306498848</v>
      </c>
      <c r="DV70" s="727">
        <v>96200.9659858062</v>
      </c>
      <c r="DW70" s="727">
        <v>94585.5286254856</v>
      </c>
      <c r="DX70" s="727">
        <v>97981.5613751418</v>
      </c>
      <c r="DY70" s="728">
        <v>-0.00720853000732802</v>
      </c>
      <c r="DZ70" s="727">
        <f t="shared" si="200"/>
        <v>963924.101757413</v>
      </c>
      <c r="EA70" s="729">
        <f t="shared" si="201"/>
        <v>-0.0797584162804181</v>
      </c>
      <c r="EB70" s="741"/>
      <c r="EC70" s="737">
        <v>94656.1807820486</v>
      </c>
      <c r="ED70" s="737">
        <v>42684.5782692023</v>
      </c>
      <c r="EE70" s="737">
        <v>75423.1312654401</v>
      </c>
      <c r="EF70" s="737">
        <v>91941.234763687</v>
      </c>
      <c r="EG70" s="737">
        <v>93089.435524186</v>
      </c>
      <c r="EH70" s="737">
        <v>94227.8590684909</v>
      </c>
      <c r="EI70" s="737">
        <v>83868.9875040922</v>
      </c>
      <c r="EJ70" s="737">
        <v>84231.5163341833</v>
      </c>
      <c r="EK70" s="737">
        <v>95651.3997125016</v>
      </c>
      <c r="EL70" s="737">
        <v>87668.0321193578</v>
      </c>
      <c r="EM70" s="737">
        <v>105333.184939401</v>
      </c>
      <c r="EN70" s="737">
        <v>98692.992775074</v>
      </c>
      <c r="EO70" s="717">
        <f t="shared" si="202"/>
        <v>1047468.53305766</v>
      </c>
      <c r="EP70" s="36"/>
      <c r="EQ70" s="740">
        <f>SUM(EC70:EN70)</f>
        <v>1047468.53305766</v>
      </c>
    </row>
    <row r="71" s="206" customFormat="1" ht="27" customHeight="1" spans="1:147">
      <c r="A71" s="707" t="s">
        <v>103</v>
      </c>
      <c r="B71" s="707" t="s">
        <v>88</v>
      </c>
      <c r="C71" s="35">
        <v>809.67390716712</v>
      </c>
      <c r="D71" s="36">
        <f t="shared" si="146"/>
        <v>0.25716864659415</v>
      </c>
      <c r="E71" s="35">
        <v>467.489296929802</v>
      </c>
      <c r="F71" s="36">
        <f t="shared" si="147"/>
        <v>-0.103810074054525</v>
      </c>
      <c r="G71" s="35">
        <v>683.147909153065</v>
      </c>
      <c r="H71" s="36">
        <f t="shared" si="148"/>
        <v>-0.00211318895025803</v>
      </c>
      <c r="I71" s="35">
        <v>717.019813541326</v>
      </c>
      <c r="J71" s="36">
        <f t="shared" si="149"/>
        <v>0.0199926426625046</v>
      </c>
      <c r="K71" s="35">
        <v>725.817087417281</v>
      </c>
      <c r="L71" s="36">
        <f t="shared" si="150"/>
        <v>0.0520168946875388</v>
      </c>
      <c r="M71" s="35">
        <v>679.734388056075</v>
      </c>
      <c r="N71" s="36">
        <f t="shared" si="151"/>
        <v>0.0714378416760573</v>
      </c>
      <c r="O71" s="35">
        <v>705.188389585299</v>
      </c>
      <c r="P71" s="36">
        <f t="shared" si="152"/>
        <v>0.00516589951128466</v>
      </c>
      <c r="Q71" s="127"/>
      <c r="R71" s="127"/>
      <c r="S71" s="35">
        <f t="shared" si="153"/>
        <v>4788.07079184997</v>
      </c>
      <c r="T71" s="36">
        <f t="shared" si="154"/>
        <v>-0.0880452312328845</v>
      </c>
      <c r="U71" s="36"/>
      <c r="V71" s="35">
        <v>644.045577624484</v>
      </c>
      <c r="W71" s="36">
        <f t="shared" si="155"/>
        <v>-0.112655407998019</v>
      </c>
      <c r="X71" s="35">
        <v>521.64087476949</v>
      </c>
      <c r="Y71" s="36">
        <f t="shared" si="156"/>
        <v>0.594360346746455</v>
      </c>
      <c r="Z71" s="35">
        <v>684.594586869444</v>
      </c>
      <c r="AA71" s="36">
        <f t="shared" si="157"/>
        <v>0.132481206514342</v>
      </c>
      <c r="AB71" s="35">
        <v>702.965672055905</v>
      </c>
      <c r="AC71" s="36">
        <f t="shared" si="158"/>
        <v>0.0868804522623101</v>
      </c>
      <c r="AD71" s="35">
        <v>689.929117186713</v>
      </c>
      <c r="AE71" s="36">
        <f t="shared" si="159"/>
        <v>0.0236796151978378</v>
      </c>
      <c r="AF71" s="35">
        <v>634.41327309549</v>
      </c>
      <c r="AG71" s="36">
        <f t="shared" si="160"/>
        <v>0.0492812794977178</v>
      </c>
      <c r="AH71" s="35">
        <v>701.564179533114</v>
      </c>
      <c r="AI71" s="36">
        <f t="shared" si="161"/>
        <v>-0.00550396284095878</v>
      </c>
      <c r="AJ71" s="35">
        <v>671.184735435008</v>
      </c>
      <c r="AK71" s="36">
        <f t="shared" si="162"/>
        <v>-0.0374661811307055</v>
      </c>
      <c r="AL71" s="35">
        <v>720.660562909567</v>
      </c>
      <c r="AM71" s="36">
        <f t="shared" si="163"/>
        <v>-0.00180169385050111</v>
      </c>
      <c r="AN71" s="35">
        <v>681.020544213144</v>
      </c>
      <c r="AO71" s="36">
        <f t="shared" si="164"/>
        <v>-0.0196298303656223</v>
      </c>
      <c r="AP71" s="35">
        <v>752.969790067876</v>
      </c>
      <c r="AQ71" s="36">
        <f t="shared" si="165"/>
        <v>0.0213708827631092</v>
      </c>
      <c r="AR71" s="35">
        <v>836.845110478772</v>
      </c>
      <c r="AS71" s="36">
        <f t="shared" si="166"/>
        <v>0.0647511593901144</v>
      </c>
      <c r="AT71" s="35">
        <f t="shared" si="167"/>
        <v>8241.83402423901</v>
      </c>
      <c r="AU71" s="36">
        <f t="shared" si="168"/>
        <v>0.0399260887851636</v>
      </c>
      <c r="AV71" s="36"/>
      <c r="AW71" s="35">
        <f t="shared" si="169"/>
        <v>7139.44995693146</v>
      </c>
      <c r="AX71" s="35">
        <v>725.812253130908</v>
      </c>
      <c r="AY71" s="36">
        <f t="shared" si="170"/>
        <v>0.756433222121009</v>
      </c>
      <c r="AZ71" s="35">
        <v>327.178781029007</v>
      </c>
      <c r="BA71" s="36">
        <f t="shared" si="171"/>
        <v>-0.335375748196277</v>
      </c>
      <c r="BB71" s="35">
        <v>604.508563083845</v>
      </c>
      <c r="BC71" s="36">
        <f t="shared" si="172"/>
        <v>0.0537945654832594</v>
      </c>
      <c r="BD71" s="35">
        <v>646.773682048198</v>
      </c>
      <c r="BE71" s="36">
        <f t="shared" si="173"/>
        <v>0.145914194938738</v>
      </c>
      <c r="BF71" s="35">
        <v>673.969772323127</v>
      </c>
      <c r="BG71" s="36">
        <f t="shared" si="174"/>
        <v>0.155363331665075</v>
      </c>
      <c r="BH71" s="35">
        <v>604.616974963261</v>
      </c>
      <c r="BI71" s="36">
        <f t="shared" si="175"/>
        <v>0.0397441254654796</v>
      </c>
      <c r="BJ71" s="35">
        <v>705.446933239935</v>
      </c>
      <c r="BK71" s="36">
        <f t="shared" si="176"/>
        <v>0.181935880636678</v>
      </c>
      <c r="BL71" s="35">
        <v>697.310289028037</v>
      </c>
      <c r="BM71" s="36">
        <f t="shared" si="177"/>
        <v>0.13819249948082</v>
      </c>
      <c r="BN71" s="35">
        <v>721.961316173216</v>
      </c>
      <c r="BO71" s="36">
        <f t="shared" si="178"/>
        <v>0.152021908748815</v>
      </c>
      <c r="BP71" s="35">
        <v>694.656534140697</v>
      </c>
      <c r="BQ71" s="36">
        <f t="shared" si="179"/>
        <v>0.103544057453901</v>
      </c>
      <c r="BR71" s="35">
        <v>737.214857771225</v>
      </c>
      <c r="BS71" s="36">
        <f t="shared" si="180"/>
        <v>0.0889081669203904</v>
      </c>
      <c r="BT71" s="35">
        <v>785.953697348509</v>
      </c>
      <c r="BU71" s="36">
        <f t="shared" si="181"/>
        <v>0.14444554692349</v>
      </c>
      <c r="BV71" s="35">
        <f t="shared" si="182"/>
        <v>7925.40365427996</v>
      </c>
      <c r="BW71" s="36">
        <f t="shared" si="183"/>
        <v>0.126108425623426</v>
      </c>
      <c r="BX71" s="36"/>
      <c r="BY71" s="50">
        <v>413.23077017095</v>
      </c>
      <c r="BZ71" s="721">
        <f t="shared" si="184"/>
        <v>-0.0440887095110878</v>
      </c>
      <c r="CA71" s="50">
        <v>492.276320253251</v>
      </c>
      <c r="CB71" s="721">
        <f t="shared" si="185"/>
        <v>0.679066615077047</v>
      </c>
      <c r="CC71" s="41">
        <v>573.649345787453</v>
      </c>
      <c r="CD71" s="721">
        <f t="shared" si="186"/>
        <v>0.16744524281374</v>
      </c>
      <c r="CE71" s="41">
        <v>564.417200611408</v>
      </c>
      <c r="CF71" s="721">
        <f t="shared" si="187"/>
        <v>0.220229977073952</v>
      </c>
      <c r="CG71" s="41">
        <v>583.340109428453</v>
      </c>
      <c r="CH71" s="721">
        <f t="shared" si="188"/>
        <v>0.170111684435366</v>
      </c>
      <c r="CI71" s="702">
        <v>581.50554560006</v>
      </c>
      <c r="CJ71" s="721">
        <f t="shared" si="189"/>
        <v>0.236938733873524</v>
      </c>
      <c r="CK71" s="702">
        <v>596.857194029789</v>
      </c>
      <c r="CL71" s="721">
        <f t="shared" si="190"/>
        <v>0.21619839957603</v>
      </c>
      <c r="CM71" s="41">
        <v>612.647060445497</v>
      </c>
      <c r="CN71" s="721">
        <f t="shared" si="191"/>
        <v>0.279354676200795</v>
      </c>
      <c r="CO71" s="41">
        <v>626.690612991312</v>
      </c>
      <c r="CP71" s="721">
        <f t="shared" si="192"/>
        <v>0.123847534439334</v>
      </c>
      <c r="CQ71" s="41">
        <v>629.477844086633</v>
      </c>
      <c r="CR71" s="721">
        <f t="shared" si="193"/>
        <v>0.335375101393942</v>
      </c>
      <c r="CS71" s="41">
        <v>677.022066843514</v>
      </c>
      <c r="CT71" s="721">
        <f t="shared" si="194"/>
        <v>0.201975224152565</v>
      </c>
      <c r="CU71" s="41">
        <v>686.75499630482</v>
      </c>
      <c r="CV71" s="721">
        <f t="shared" si="195"/>
        <v>0.219254926903551</v>
      </c>
      <c r="CW71" s="41">
        <f t="shared" si="196"/>
        <v>7037.86906655314</v>
      </c>
      <c r="CX71" s="721">
        <f t="shared" si="197"/>
        <v>0.222596815510225</v>
      </c>
      <c r="CY71" s="721"/>
      <c r="CZ71" s="721">
        <f t="shared" si="198"/>
        <v>0.0143760889607099</v>
      </c>
      <c r="DA71" s="721">
        <f t="shared" si="199"/>
        <v>0.0755296206268663</v>
      </c>
      <c r="DB71" s="721"/>
      <c r="DC71" s="721"/>
      <c r="DD71" s="721"/>
      <c r="DE71" s="721"/>
      <c r="DF71" s="721"/>
      <c r="DG71" s="721"/>
      <c r="DH71" s="721"/>
      <c r="DI71" s="721"/>
      <c r="DJ71" s="721"/>
      <c r="DK71" s="721"/>
      <c r="DL71" s="222"/>
      <c r="DM71" s="742">
        <v>432.289872797295</v>
      </c>
      <c r="DN71" s="742">
        <v>293.184508483996</v>
      </c>
      <c r="DO71" s="731">
        <v>491.371521978077</v>
      </c>
      <c r="DP71" s="731">
        <v>462.549856351547</v>
      </c>
      <c r="DQ71" s="731">
        <v>498.533701686726</v>
      </c>
      <c r="DR71" s="731">
        <v>470.116691858336</v>
      </c>
      <c r="DS71" s="731">
        <v>490.756437632096</v>
      </c>
      <c r="DT71" s="731">
        <v>478.871943677753</v>
      </c>
      <c r="DU71" s="731">
        <v>557.629566099423</v>
      </c>
      <c r="DV71" s="731">
        <v>471.386536584026</v>
      </c>
      <c r="DW71" s="731">
        <v>546.543669098307</v>
      </c>
      <c r="DX71" s="731">
        <v>563.257921826832</v>
      </c>
      <c r="DY71" s="732">
        <v>0.134879520420303</v>
      </c>
      <c r="DZ71" s="731">
        <f t="shared" si="200"/>
        <v>5756.49222807441</v>
      </c>
      <c r="EA71" s="733">
        <f t="shared" si="201"/>
        <v>-0.132939453969736</v>
      </c>
      <c r="EB71" s="743"/>
      <c r="EC71" s="737">
        <v>653.406922178428</v>
      </c>
      <c r="ED71" s="737">
        <v>237.934135551556</v>
      </c>
      <c r="EE71" s="737">
        <v>499.175540010268</v>
      </c>
      <c r="EF71" s="737">
        <v>619.275952087712</v>
      </c>
      <c r="EG71" s="737">
        <v>628.795128986704</v>
      </c>
      <c r="EH71" s="737">
        <v>691.314372953465</v>
      </c>
      <c r="EI71" s="737">
        <v>640.910018501338</v>
      </c>
      <c r="EJ71" s="737">
        <v>549.857668752099</v>
      </c>
      <c r="EK71" s="737">
        <v>597.409243624197</v>
      </c>
      <c r="EL71" s="737">
        <v>494.26180896503</v>
      </c>
      <c r="EM71" s="737">
        <v>530.433147729766</v>
      </c>
      <c r="EN71" s="737">
        <v>496.315169753199</v>
      </c>
      <c r="EO71" s="724">
        <f t="shared" si="202"/>
        <v>6639.08910909376</v>
      </c>
      <c r="EP71" s="36"/>
      <c r="EQ71" s="740">
        <f>SUM(EC71:EN71)</f>
        <v>6639.08910909376</v>
      </c>
    </row>
    <row r="72" ht="27" customHeight="1" spans="1:147">
      <c r="A72" s="45"/>
      <c r="B72" s="707" t="s">
        <v>89</v>
      </c>
      <c r="C72" s="35">
        <v>85.6837</v>
      </c>
      <c r="D72" s="36">
        <f t="shared" si="146"/>
        <v>0.34317312515676</v>
      </c>
      <c r="E72" s="35">
        <v>66.3493</v>
      </c>
      <c r="F72" s="36">
        <f t="shared" si="147"/>
        <v>0.413229759290459</v>
      </c>
      <c r="G72" s="35">
        <v>130.0127</v>
      </c>
      <c r="H72" s="36">
        <f t="shared" si="148"/>
        <v>0.847343353481618</v>
      </c>
      <c r="I72" s="35">
        <v>97.5327</v>
      </c>
      <c r="J72" s="36">
        <f t="shared" si="149"/>
        <v>0.469346156801244</v>
      </c>
      <c r="K72" s="35">
        <v>91.9741</v>
      </c>
      <c r="L72" s="36">
        <f t="shared" si="150"/>
        <v>0.354490442998921</v>
      </c>
      <c r="M72" s="35">
        <v>96.2006</v>
      </c>
      <c r="N72" s="36">
        <f t="shared" si="151"/>
        <v>0.116043430292385</v>
      </c>
      <c r="O72" s="35">
        <v>80.5683</v>
      </c>
      <c r="P72" s="36">
        <f t="shared" si="152"/>
        <v>0.00304268094552174</v>
      </c>
      <c r="Q72" s="127"/>
      <c r="R72" s="127"/>
      <c r="S72" s="35">
        <f t="shared" si="153"/>
        <v>648.3214</v>
      </c>
      <c r="T72" s="36">
        <f t="shared" si="154"/>
        <v>0.173332372932552</v>
      </c>
      <c r="U72" s="36"/>
      <c r="V72" s="35">
        <v>63.792</v>
      </c>
      <c r="W72" s="36">
        <f t="shared" si="155"/>
        <v>-0.0514821335109673</v>
      </c>
      <c r="X72" s="35">
        <v>46.9487</v>
      </c>
      <c r="Y72" s="36">
        <f t="shared" si="156"/>
        <v>0.206755447257287</v>
      </c>
      <c r="Z72" s="35">
        <v>70.3782</v>
      </c>
      <c r="AA72" s="36">
        <f t="shared" si="157"/>
        <v>-0.123021826573691</v>
      </c>
      <c r="AB72" s="35">
        <v>66.3783</v>
      </c>
      <c r="AC72" s="36">
        <f t="shared" si="158"/>
        <v>0.141485585752904</v>
      </c>
      <c r="AD72" s="35">
        <v>67.9031</v>
      </c>
      <c r="AE72" s="36">
        <f t="shared" si="159"/>
        <v>-0.164674607021334</v>
      </c>
      <c r="AF72" s="35">
        <v>86.1979</v>
      </c>
      <c r="AG72" s="36">
        <f t="shared" si="160"/>
        <v>0.19409173396872</v>
      </c>
      <c r="AH72" s="35">
        <v>80.3239</v>
      </c>
      <c r="AI72" s="36">
        <f t="shared" si="161"/>
        <v>0.120455693094857</v>
      </c>
      <c r="AJ72" s="35">
        <v>70.625</v>
      </c>
      <c r="AK72" s="36">
        <f t="shared" si="162"/>
        <v>-0.0422650955971994</v>
      </c>
      <c r="AL72" s="35">
        <v>90.523</v>
      </c>
      <c r="AM72" s="36">
        <f t="shared" si="163"/>
        <v>0.375704394448733</v>
      </c>
      <c r="AN72" s="35">
        <v>72.0352</v>
      </c>
      <c r="AO72" s="36">
        <f t="shared" si="164"/>
        <v>0.13299768949957</v>
      </c>
      <c r="AP72" s="35">
        <v>66.8337</v>
      </c>
      <c r="AQ72" s="36">
        <f t="shared" si="165"/>
        <v>0.0535544261654191</v>
      </c>
      <c r="AR72" s="35">
        <v>92.3083</v>
      </c>
      <c r="AS72" s="36">
        <f t="shared" si="166"/>
        <v>0.288793669143497</v>
      </c>
      <c r="AT72" s="35">
        <f t="shared" si="167"/>
        <v>874.2473</v>
      </c>
      <c r="AU72" s="36">
        <f t="shared" si="168"/>
        <v>0.082112041676017</v>
      </c>
      <c r="AV72" s="36"/>
      <c r="AW72" s="35">
        <f t="shared" si="169"/>
        <v>736.2845</v>
      </c>
      <c r="AX72" s="35">
        <v>67.2544</v>
      </c>
      <c r="AY72" s="36">
        <f t="shared" si="170"/>
        <v>3.54486109515539</v>
      </c>
      <c r="AZ72" s="35">
        <v>38.9049</v>
      </c>
      <c r="BA72" s="36">
        <f t="shared" si="171"/>
        <v>0.963654258675079</v>
      </c>
      <c r="BB72" s="35">
        <v>80.2508</v>
      </c>
      <c r="BC72" s="36">
        <f t="shared" si="172"/>
        <v>3.91573202330126</v>
      </c>
      <c r="BD72" s="35">
        <v>58.1508</v>
      </c>
      <c r="BE72" s="36">
        <f t="shared" si="173"/>
        <v>2.65797320249104</v>
      </c>
      <c r="BF72" s="35">
        <v>81.2894</v>
      </c>
      <c r="BG72" s="36">
        <f t="shared" si="174"/>
        <v>3.68518699964842</v>
      </c>
      <c r="BH72" s="35">
        <v>72.187</v>
      </c>
      <c r="BI72" s="36">
        <f t="shared" si="175"/>
        <v>2.83655052190735</v>
      </c>
      <c r="BJ72" s="35">
        <v>71.6886</v>
      </c>
      <c r="BK72" s="36">
        <f t="shared" si="176"/>
        <v>6.62223025560328</v>
      </c>
      <c r="BL72" s="35">
        <v>73.7417</v>
      </c>
      <c r="BM72" s="36">
        <f t="shared" si="177"/>
        <v>3.26173771325535</v>
      </c>
      <c r="BN72" s="35">
        <v>65.8012</v>
      </c>
      <c r="BO72" s="36">
        <f t="shared" si="178"/>
        <v>2.88090898903575</v>
      </c>
      <c r="BP72" s="35">
        <v>63.5793</v>
      </c>
      <c r="BQ72" s="36">
        <f t="shared" si="179"/>
        <v>2.97333374996094</v>
      </c>
      <c r="BR72" s="35">
        <v>63.4364</v>
      </c>
      <c r="BS72" s="36">
        <f t="shared" si="180"/>
        <v>2.81641198411743</v>
      </c>
      <c r="BT72" s="35">
        <v>71.6238</v>
      </c>
      <c r="BU72" s="36">
        <f t="shared" si="181"/>
        <v>2.77468010203006</v>
      </c>
      <c r="BV72" s="35">
        <f t="shared" si="182"/>
        <v>807.9083</v>
      </c>
      <c r="BW72" s="36">
        <f t="shared" si="183"/>
        <v>3.07498572584339</v>
      </c>
      <c r="BX72" s="36"/>
      <c r="BY72" s="50">
        <v>14.7979</v>
      </c>
      <c r="BZ72" s="721">
        <f t="shared" si="184"/>
        <v>1.53840743790311</v>
      </c>
      <c r="CA72" s="50">
        <v>19.8125</v>
      </c>
      <c r="CB72" s="721">
        <f t="shared" si="185"/>
        <v>2.68837962618214</v>
      </c>
      <c r="CC72" s="41">
        <v>16.3253</v>
      </c>
      <c r="CD72" s="721">
        <f t="shared" si="186"/>
        <v>1.47709581974054</v>
      </c>
      <c r="CE72" s="41">
        <v>15.897</v>
      </c>
      <c r="CF72" s="721">
        <f t="shared" si="187"/>
        <v>1.97073553595455</v>
      </c>
      <c r="CG72" s="41">
        <v>17.3503</v>
      </c>
      <c r="CH72" s="721">
        <f t="shared" si="188"/>
        <v>2.05581387156997</v>
      </c>
      <c r="CI72" s="702">
        <v>18.8156</v>
      </c>
      <c r="CJ72" s="721">
        <f t="shared" si="189"/>
        <v>1.97606883570852</v>
      </c>
      <c r="CK72" s="702">
        <v>9.4052</v>
      </c>
      <c r="CL72" s="721">
        <f t="shared" si="190"/>
        <v>0.538381013134436</v>
      </c>
      <c r="CM72" s="41">
        <v>17.3032</v>
      </c>
      <c r="CN72" s="721">
        <f t="shared" si="191"/>
        <v>1.57549416527745</v>
      </c>
      <c r="CO72" s="41">
        <v>16.9551</v>
      </c>
      <c r="CP72" s="721">
        <f t="shared" si="192"/>
        <v>1.7604728024617</v>
      </c>
      <c r="CQ72" s="41">
        <v>16.0015</v>
      </c>
      <c r="CR72" s="721">
        <f t="shared" si="193"/>
        <v>2.30452470933234</v>
      </c>
      <c r="CS72" s="41">
        <v>16.622</v>
      </c>
      <c r="CT72" s="721">
        <f t="shared" si="194"/>
        <v>0.651711631142247</v>
      </c>
      <c r="CU72" s="41">
        <v>18.9748</v>
      </c>
      <c r="CV72" s="721">
        <f t="shared" si="195"/>
        <v>0.885507030357231</v>
      </c>
      <c r="CW72" s="41">
        <f t="shared" si="196"/>
        <v>198.2604</v>
      </c>
      <c r="CX72" s="721">
        <f t="shared" si="197"/>
        <v>1.35561855357756</v>
      </c>
      <c r="CY72" s="721"/>
      <c r="CZ72" s="721">
        <f t="shared" si="198"/>
        <v>0.141547346889664</v>
      </c>
      <c r="DA72" s="721">
        <f t="shared" si="199"/>
        <v>0.0387776145986314</v>
      </c>
      <c r="DB72" s="721"/>
      <c r="DC72" s="721"/>
      <c r="DD72" s="721"/>
      <c r="DE72" s="721"/>
      <c r="DF72" s="721"/>
      <c r="DG72" s="721"/>
      <c r="DH72" s="721"/>
      <c r="DI72" s="721"/>
      <c r="DJ72" s="721"/>
      <c r="DK72" s="721"/>
      <c r="DL72" s="735" t="s">
        <v>103</v>
      </c>
      <c r="DM72" s="742">
        <v>5.8296</v>
      </c>
      <c r="DN72" s="742">
        <v>5.3716</v>
      </c>
      <c r="DO72" s="731">
        <v>6.5905</v>
      </c>
      <c r="DP72" s="731">
        <v>5.3512</v>
      </c>
      <c r="DQ72" s="731">
        <v>5.6778</v>
      </c>
      <c r="DR72" s="731">
        <v>6.3223</v>
      </c>
      <c r="DS72" s="731">
        <v>6.1137</v>
      </c>
      <c r="DT72" s="731">
        <v>6.7184</v>
      </c>
      <c r="DU72" s="731">
        <v>6.1421</v>
      </c>
      <c r="DV72" s="731">
        <v>4.8423</v>
      </c>
      <c r="DW72" s="731">
        <v>15.1419</v>
      </c>
      <c r="DX72" s="731">
        <v>10.0635</v>
      </c>
      <c r="DY72" s="732">
        <v>0.854100263463345</v>
      </c>
      <c r="DZ72" s="731">
        <f t="shared" si="200"/>
        <v>84.1649</v>
      </c>
      <c r="EA72" s="733">
        <f t="shared" si="201"/>
        <v>-0.0581936633193606</v>
      </c>
      <c r="EB72" s="733"/>
      <c r="EC72" s="737">
        <v>10.7112</v>
      </c>
      <c r="ED72" s="737">
        <v>8.3064</v>
      </c>
      <c r="EE72" s="737">
        <v>8.0137</v>
      </c>
      <c r="EF72" s="737">
        <v>9.7629</v>
      </c>
      <c r="EG72" s="737">
        <v>7.8064</v>
      </c>
      <c r="EH72" s="737">
        <v>7.9939</v>
      </c>
      <c r="EI72" s="737">
        <v>6.1734</v>
      </c>
      <c r="EJ72" s="737">
        <v>7.8046</v>
      </c>
      <c r="EK72" s="737">
        <v>6.5233</v>
      </c>
      <c r="EL72" s="737">
        <v>5.3739</v>
      </c>
      <c r="EM72" s="737">
        <v>5.468</v>
      </c>
      <c r="EN72" s="737">
        <v>5.4277</v>
      </c>
      <c r="EO72" s="717">
        <f t="shared" si="202"/>
        <v>89.3654</v>
      </c>
      <c r="EP72" s="36"/>
      <c r="EQ72" s="740">
        <f>SUM(EC72:EN72)</f>
        <v>89.3654</v>
      </c>
    </row>
    <row r="73" s="206" customFormat="1" ht="27" customHeight="1" spans="1:147">
      <c r="A73" s="45"/>
      <c r="B73" s="707" t="s">
        <v>90</v>
      </c>
      <c r="C73" s="35">
        <v>723.99020716712</v>
      </c>
      <c r="D73" s="36">
        <f t="shared" si="146"/>
        <v>0.247713474048852</v>
      </c>
      <c r="E73" s="35">
        <v>401.139996929802</v>
      </c>
      <c r="F73" s="36">
        <f t="shared" si="147"/>
        <v>-0.154947104142605</v>
      </c>
      <c r="G73" s="35">
        <v>553.135209153065</v>
      </c>
      <c r="H73" s="36">
        <f t="shared" si="148"/>
        <v>-0.099445698653042</v>
      </c>
      <c r="I73" s="35">
        <v>619.487113541326</v>
      </c>
      <c r="J73" s="36">
        <f t="shared" si="149"/>
        <v>-0.0268623904042464</v>
      </c>
      <c r="K73" s="35">
        <v>633.842987417281</v>
      </c>
      <c r="L73" s="36">
        <f t="shared" si="150"/>
        <v>0.0189975497874084</v>
      </c>
      <c r="M73" s="35">
        <v>583.533788056075</v>
      </c>
      <c r="N73" s="36">
        <f t="shared" si="151"/>
        <v>0.064424342500941</v>
      </c>
      <c r="O73" s="35">
        <v>624.620089585299</v>
      </c>
      <c r="P73" s="36">
        <f t="shared" si="152"/>
        <v>0.00544042323644067</v>
      </c>
      <c r="Q73" s="127"/>
      <c r="R73" s="127"/>
      <c r="S73" s="35">
        <f t="shared" si="153"/>
        <v>4139.74939184997</v>
      </c>
      <c r="T73" s="36">
        <f t="shared" si="154"/>
        <v>-0.118788071804432</v>
      </c>
      <c r="U73" s="36"/>
      <c r="V73" s="35">
        <v>580.253577624484</v>
      </c>
      <c r="W73" s="36">
        <f t="shared" si="155"/>
        <v>-0.118902652415654</v>
      </c>
      <c r="X73" s="35">
        <v>474.69217476949</v>
      </c>
      <c r="Y73" s="36">
        <f t="shared" si="156"/>
        <v>0.646670773901036</v>
      </c>
      <c r="Z73" s="35">
        <v>614.216386869444</v>
      </c>
      <c r="AA73" s="36">
        <f t="shared" si="157"/>
        <v>0.171592354219869</v>
      </c>
      <c r="AB73" s="35">
        <v>636.587372055905</v>
      </c>
      <c r="AC73" s="36">
        <f t="shared" si="158"/>
        <v>0.081485941968154</v>
      </c>
      <c r="AD73" s="35">
        <v>622.026017186713</v>
      </c>
      <c r="AE73" s="36">
        <f t="shared" si="159"/>
        <v>0.0495134413656386</v>
      </c>
      <c r="AF73" s="35">
        <v>548.21537309549</v>
      </c>
      <c r="AG73" s="36">
        <f t="shared" si="160"/>
        <v>0.0296478389168797</v>
      </c>
      <c r="AH73" s="35">
        <v>621.240279533114</v>
      </c>
      <c r="AI73" s="36">
        <f t="shared" si="161"/>
        <v>-0.0197520932668853</v>
      </c>
      <c r="AJ73" s="35">
        <v>600.559735435008</v>
      </c>
      <c r="AK73" s="36">
        <f t="shared" si="162"/>
        <v>-0.0368986732139494</v>
      </c>
      <c r="AL73" s="35">
        <v>630.137562909567</v>
      </c>
      <c r="AM73" s="36">
        <f t="shared" si="163"/>
        <v>-0.0396588464038546</v>
      </c>
      <c r="AN73" s="35">
        <v>608.985344213144</v>
      </c>
      <c r="AO73" s="36">
        <f t="shared" si="164"/>
        <v>-0.03500663426345</v>
      </c>
      <c r="AP73" s="35">
        <v>686.136090067876</v>
      </c>
      <c r="AQ73" s="36">
        <f t="shared" si="165"/>
        <v>0.0183407945951977</v>
      </c>
      <c r="AR73" s="35">
        <v>744.536810478772</v>
      </c>
      <c r="AS73" s="36">
        <f t="shared" si="166"/>
        <v>0.0422870626616452</v>
      </c>
      <c r="AT73" s="35">
        <f t="shared" si="167"/>
        <v>7367.58672423901</v>
      </c>
      <c r="AU73" s="36">
        <f t="shared" si="168"/>
        <v>0.0351375529607696</v>
      </c>
      <c r="AV73" s="36"/>
      <c r="AW73" s="35">
        <f t="shared" si="169"/>
        <v>6403.16545693146</v>
      </c>
      <c r="AX73" s="35">
        <v>658.557853130908</v>
      </c>
      <c r="AY73" s="36">
        <f t="shared" si="170"/>
        <v>0.652870288659542</v>
      </c>
      <c r="AZ73" s="35">
        <v>288.273881029007</v>
      </c>
      <c r="BA73" s="36">
        <f t="shared" si="171"/>
        <v>-0.3898498283435</v>
      </c>
      <c r="BB73" s="35">
        <v>524.257763083845</v>
      </c>
      <c r="BC73" s="36">
        <f t="shared" si="172"/>
        <v>-0.0593304433094898</v>
      </c>
      <c r="BD73" s="35">
        <v>588.622882048198</v>
      </c>
      <c r="BE73" s="36">
        <f t="shared" si="173"/>
        <v>0.0731106737583951</v>
      </c>
      <c r="BF73" s="35">
        <v>592.680372323127</v>
      </c>
      <c r="BG73" s="36">
        <f t="shared" si="174"/>
        <v>0.047157320591384</v>
      </c>
      <c r="BH73" s="35">
        <v>532.429974963261</v>
      </c>
      <c r="BI73" s="36">
        <f t="shared" si="175"/>
        <v>-0.0537773437634991</v>
      </c>
      <c r="BJ73" s="35">
        <v>633.758333239935</v>
      </c>
      <c r="BK73" s="36">
        <f t="shared" si="176"/>
        <v>0.0788257418150802</v>
      </c>
      <c r="BL73" s="35">
        <v>623.568589028037</v>
      </c>
      <c r="BM73" s="36">
        <f t="shared" si="177"/>
        <v>0.0474091201031608</v>
      </c>
      <c r="BN73" s="35">
        <v>656.160116173216</v>
      </c>
      <c r="BO73" s="36">
        <f t="shared" si="178"/>
        <v>0.0761389195688287</v>
      </c>
      <c r="BP73" s="35">
        <v>631.077234140697</v>
      </c>
      <c r="BQ73" s="36">
        <f t="shared" si="179"/>
        <v>0.0286904136136965</v>
      </c>
      <c r="BR73" s="35">
        <v>673.778457771225</v>
      </c>
      <c r="BS73" s="36">
        <f t="shared" si="180"/>
        <v>0.0202580096511118</v>
      </c>
      <c r="BT73" s="35">
        <v>714.329897348509</v>
      </c>
      <c r="BU73" s="36">
        <f t="shared" si="181"/>
        <v>0.0697081184816097</v>
      </c>
      <c r="BV73" s="35">
        <f t="shared" si="182"/>
        <v>7117.49535427996</v>
      </c>
      <c r="BW73" s="36">
        <f t="shared" si="183"/>
        <v>0.0406290332202395</v>
      </c>
      <c r="BX73" s="36"/>
      <c r="BY73" s="50">
        <v>398.43287017095</v>
      </c>
      <c r="BZ73" s="721">
        <f t="shared" si="184"/>
        <v>-0.0657210165029063</v>
      </c>
      <c r="CA73" s="50">
        <v>472.463820253251</v>
      </c>
      <c r="CB73" s="721">
        <f t="shared" si="185"/>
        <v>0.641565775287395</v>
      </c>
      <c r="CC73" s="41">
        <v>557.324045787453</v>
      </c>
      <c r="CD73" s="721">
        <f t="shared" si="186"/>
        <v>0.14964080795361</v>
      </c>
      <c r="CE73" s="41">
        <v>548.520200611408</v>
      </c>
      <c r="CF73" s="721">
        <f t="shared" si="187"/>
        <v>0.199741497467662</v>
      </c>
      <c r="CG73" s="41">
        <v>565.989809428453</v>
      </c>
      <c r="CH73" s="721">
        <f t="shared" si="188"/>
        <v>0.148388012584281</v>
      </c>
      <c r="CI73" s="702">
        <v>562.68994560006</v>
      </c>
      <c r="CJ73" s="721">
        <f t="shared" si="189"/>
        <v>0.213231456606166</v>
      </c>
      <c r="CK73" s="702">
        <v>587.451994029789</v>
      </c>
      <c r="CL73" s="721">
        <f t="shared" si="190"/>
        <v>0.212134111201183</v>
      </c>
      <c r="CM73" s="41">
        <v>595.343860445497</v>
      </c>
      <c r="CN73" s="721">
        <f t="shared" si="191"/>
        <v>0.260911558151562</v>
      </c>
      <c r="CO73" s="41">
        <v>609.735512991312</v>
      </c>
      <c r="CP73" s="721">
        <f t="shared" si="192"/>
        <v>0.105619892513365</v>
      </c>
      <c r="CQ73" s="41">
        <v>613.476344086633</v>
      </c>
      <c r="CR73" s="721">
        <f t="shared" si="193"/>
        <v>0.314937139891437</v>
      </c>
      <c r="CS73" s="41">
        <v>660.400066843514</v>
      </c>
      <c r="CT73" s="721">
        <f t="shared" si="194"/>
        <v>0.193793792537989</v>
      </c>
      <c r="CU73" s="41">
        <v>667.78019630482</v>
      </c>
      <c r="CV73" s="721">
        <f t="shared" si="195"/>
        <v>0.207134725074754</v>
      </c>
      <c r="CW73" s="41">
        <f t="shared" si="196"/>
        <v>6839.60866655314</v>
      </c>
      <c r="CX73" s="721">
        <f t="shared" si="197"/>
        <v>0.205785257261411</v>
      </c>
      <c r="CY73" s="721"/>
      <c r="CZ73" s="721">
        <f t="shared" si="198"/>
        <v>0.0111752403305778</v>
      </c>
      <c r="DA73" s="721">
        <f t="shared" si="199"/>
        <v>0.0764882349730092</v>
      </c>
      <c r="DB73" s="721"/>
      <c r="DC73" s="721"/>
      <c r="DD73" s="721"/>
      <c r="DE73" s="721"/>
      <c r="DF73" s="721"/>
      <c r="DG73" s="721"/>
      <c r="DH73" s="721"/>
      <c r="DI73" s="721"/>
      <c r="DJ73" s="721"/>
      <c r="DK73" s="721"/>
      <c r="DL73" s="206"/>
      <c r="DM73" s="742">
        <v>426.460272797295</v>
      </c>
      <c r="DN73" s="742">
        <v>287.812908483996</v>
      </c>
      <c r="DO73" s="731">
        <v>484.781021978077</v>
      </c>
      <c r="DP73" s="731">
        <v>457.198656351547</v>
      </c>
      <c r="DQ73" s="731">
        <v>492.855901686726</v>
      </c>
      <c r="DR73" s="731">
        <v>463.794391858336</v>
      </c>
      <c r="DS73" s="731">
        <v>484.642737632096</v>
      </c>
      <c r="DT73" s="731">
        <v>472.153543677753</v>
      </c>
      <c r="DU73" s="731">
        <v>551.487466099423</v>
      </c>
      <c r="DV73" s="731">
        <v>466.544236584026</v>
      </c>
      <c r="DW73" s="731">
        <v>531.401769098307</v>
      </c>
      <c r="DX73" s="731">
        <v>553.194421826832</v>
      </c>
      <c r="DY73" s="732">
        <v>0.12692715930386</v>
      </c>
      <c r="DZ73" s="731">
        <f t="shared" si="200"/>
        <v>5672.32732807441</v>
      </c>
      <c r="EA73" s="733">
        <f t="shared" si="201"/>
        <v>-0.133959296603787</v>
      </c>
      <c r="EB73" s="733"/>
      <c r="EC73" s="737">
        <v>642.695722178428</v>
      </c>
      <c r="ED73" s="737">
        <v>229.627735551556</v>
      </c>
      <c r="EE73" s="737">
        <v>491.161840010268</v>
      </c>
      <c r="EF73" s="737">
        <v>609.513052087712</v>
      </c>
      <c r="EG73" s="737">
        <v>620.988728986704</v>
      </c>
      <c r="EH73" s="737">
        <v>683.320472953465</v>
      </c>
      <c r="EI73" s="737">
        <v>634.736618501338</v>
      </c>
      <c r="EJ73" s="737">
        <v>542.053068752099</v>
      </c>
      <c r="EK73" s="737">
        <v>590.885943624197</v>
      </c>
      <c r="EL73" s="737">
        <v>488.88790896503</v>
      </c>
      <c r="EM73" s="737">
        <v>524.965147729766</v>
      </c>
      <c r="EN73" s="737">
        <v>490.887469753199</v>
      </c>
      <c r="EO73" s="724">
        <f t="shared" si="202"/>
        <v>6549.72370909376</v>
      </c>
      <c r="EP73" s="36"/>
      <c r="EQ73" s="740">
        <f>SUM(EC73:EN73)</f>
        <v>6549.72370909376</v>
      </c>
    </row>
    <row r="74" ht="27" customHeight="1" spans="1:147">
      <c r="A74" s="45"/>
      <c r="B74" s="707" t="s">
        <v>91</v>
      </c>
      <c r="C74" s="35">
        <f>C75+C76</f>
        <v>60258.0749368319</v>
      </c>
      <c r="D74" s="36">
        <f t="shared" si="146"/>
        <v>0.179246880615632</v>
      </c>
      <c r="E74" s="35">
        <f>E75+E76</f>
        <v>39155.6596991437</v>
      </c>
      <c r="F74" s="36">
        <f t="shared" si="147"/>
        <v>-0.130434874019324</v>
      </c>
      <c r="G74" s="35">
        <f>G75+G76</f>
        <v>57178.2950943179</v>
      </c>
      <c r="H74" s="36">
        <f t="shared" si="148"/>
        <v>-0.0422868457731965</v>
      </c>
      <c r="I74" s="35">
        <f>I75+I76</f>
        <v>55055.4075434826</v>
      </c>
      <c r="J74" s="36">
        <f t="shared" si="149"/>
        <v>0.000436942608377899</v>
      </c>
      <c r="K74" s="35">
        <f>K75+K76</f>
        <v>54395.0349786319</v>
      </c>
      <c r="L74" s="36">
        <f t="shared" si="150"/>
        <v>0.00280507278348074</v>
      </c>
      <c r="M74" s="35">
        <f>M75+M76</f>
        <v>51736.4360898727</v>
      </c>
      <c r="N74" s="36">
        <f t="shared" si="151"/>
        <v>0.0162926944123154</v>
      </c>
      <c r="O74" s="35">
        <f>O75+O76</f>
        <v>52831.6080847638</v>
      </c>
      <c r="P74" s="36">
        <f t="shared" si="152"/>
        <v>-0.00546990391260027</v>
      </c>
      <c r="Q74" s="127"/>
      <c r="R74" s="127"/>
      <c r="S74" s="35">
        <f t="shared" si="153"/>
        <v>370610.516427044</v>
      </c>
      <c r="T74" s="36">
        <f t="shared" si="154"/>
        <v>-0.115159559998721</v>
      </c>
      <c r="U74" s="36"/>
      <c r="V74" s="35">
        <f>V75+V76</f>
        <v>51098.7783197475</v>
      </c>
      <c r="W74" s="36">
        <f t="shared" si="155"/>
        <v>-0.098598001704975</v>
      </c>
      <c r="X74" s="35">
        <f>X75+X76</f>
        <v>45029.0133875652</v>
      </c>
      <c r="Y74" s="36">
        <f t="shared" si="156"/>
        <v>0.500598655909442</v>
      </c>
      <c r="Z74" s="35">
        <f>Z75+Z76</f>
        <v>59702.9442917906</v>
      </c>
      <c r="AA74" s="36">
        <f t="shared" si="157"/>
        <v>0.152843222094196</v>
      </c>
      <c r="AB74" s="35">
        <f>AB75+AB76</f>
        <v>55031.3619966292</v>
      </c>
      <c r="AC74" s="36">
        <f t="shared" si="158"/>
        <v>0.109935375303059</v>
      </c>
      <c r="AD74" s="35">
        <f>AD75+AD76</f>
        <v>54242.8797529393</v>
      </c>
      <c r="AE74" s="36">
        <f t="shared" si="159"/>
        <v>0.0343021698950701</v>
      </c>
      <c r="AF74" s="35">
        <f>AF75+AF76</f>
        <v>50907.0235123455</v>
      </c>
      <c r="AG74" s="36">
        <f t="shared" si="160"/>
        <v>0.0144173822359437</v>
      </c>
      <c r="AH74" s="35">
        <f>AH75+AH76</f>
        <v>53122.1813121691</v>
      </c>
      <c r="AI74" s="36">
        <f t="shared" si="161"/>
        <v>-0.0222629843370087</v>
      </c>
      <c r="AJ74" s="35">
        <f>AJ75+AJ76</f>
        <v>49710.2775946931</v>
      </c>
      <c r="AK74" s="36">
        <f t="shared" si="162"/>
        <v>-0.0394707358345525</v>
      </c>
      <c r="AL74" s="35">
        <f>AL75+AL76</f>
        <v>55243.6774503039</v>
      </c>
      <c r="AM74" s="36">
        <f t="shared" si="163"/>
        <v>0.0265129393783154</v>
      </c>
      <c r="AN74" s="35">
        <f>AN75+AN76</f>
        <v>51611.5041474218</v>
      </c>
      <c r="AO74" s="36">
        <f t="shared" si="164"/>
        <v>-0.0582937632128434</v>
      </c>
      <c r="AP74" s="35">
        <f>AP75+AP76</f>
        <v>56396.0790278155</v>
      </c>
      <c r="AQ74" s="36">
        <f t="shared" si="165"/>
        <v>-0.045828912428298</v>
      </c>
      <c r="AR74" s="35">
        <f>AR75+AR76</f>
        <v>64461.1714520037</v>
      </c>
      <c r="AS74" s="36">
        <f t="shared" si="166"/>
        <v>-0.0515993592126259</v>
      </c>
      <c r="AT74" s="35">
        <f t="shared" si="167"/>
        <v>646556.892245424</v>
      </c>
      <c r="AU74" s="36">
        <f t="shared" si="168"/>
        <v>0.0222691924672285</v>
      </c>
      <c r="AV74" s="36"/>
      <c r="AW74" s="35">
        <f t="shared" si="169"/>
        <v>564503.954314317</v>
      </c>
      <c r="AX74" s="35">
        <f>AX75+AX76</f>
        <v>56688.1129800015</v>
      </c>
      <c r="AY74" s="36">
        <f t="shared" si="170"/>
        <v>0.407487920016011</v>
      </c>
      <c r="AZ74" s="35">
        <f>AZ75+AZ76</f>
        <v>30007.3662003084</v>
      </c>
      <c r="BA74" s="36">
        <f t="shared" si="171"/>
        <v>-0.325757353498525</v>
      </c>
      <c r="BB74" s="35">
        <f>BB75+BB76</f>
        <v>51787.5658611561</v>
      </c>
      <c r="BC74" s="36">
        <f t="shared" si="172"/>
        <v>0.0585669876467005</v>
      </c>
      <c r="BD74" s="35">
        <f>BD75+BD76</f>
        <v>49580.6902105479</v>
      </c>
      <c r="BE74" s="36">
        <f t="shared" si="173"/>
        <v>0.0629801818061071</v>
      </c>
      <c r="BF74" s="35">
        <f>BF75+BF76</f>
        <v>52443.9388524557</v>
      </c>
      <c r="BG74" s="36">
        <f t="shared" si="174"/>
        <v>0.0961104202010681</v>
      </c>
      <c r="BH74" s="35">
        <f>BH75+BH76</f>
        <v>50183.5086856832</v>
      </c>
      <c r="BI74" s="36">
        <f t="shared" si="175"/>
        <v>0.0516679584203199</v>
      </c>
      <c r="BJ74" s="35">
        <f>BJ75+BJ76</f>
        <v>54331.7686260938</v>
      </c>
      <c r="BK74" s="36">
        <f t="shared" si="176"/>
        <v>0.0930231531293644</v>
      </c>
      <c r="BL74" s="35">
        <f>BL75+BL76</f>
        <v>51753.0068569891</v>
      </c>
      <c r="BM74" s="36">
        <f t="shared" si="177"/>
        <v>0.0435041358462609</v>
      </c>
      <c r="BN74" s="35">
        <f>BN75+BN76</f>
        <v>53816.8349672835</v>
      </c>
      <c r="BO74" s="36">
        <f t="shared" si="178"/>
        <v>0.0392229507509074</v>
      </c>
      <c r="BP74" s="35">
        <f>BP75+BP76</f>
        <v>54806.3739319664</v>
      </c>
      <c r="BQ74" s="36">
        <f t="shared" si="179"/>
        <v>0.0150580163085221</v>
      </c>
      <c r="BR74" s="35">
        <f>BR75+BR76</f>
        <v>59104.7871418317</v>
      </c>
      <c r="BS74" s="36">
        <f t="shared" si="180"/>
        <v>-0.00549642379697723</v>
      </c>
      <c r="BT74" s="35">
        <f>BT75+BT76</f>
        <v>67968.2917532481</v>
      </c>
      <c r="BU74" s="36">
        <f t="shared" si="181"/>
        <v>0.08648609253638</v>
      </c>
      <c r="BV74" s="35">
        <f t="shared" si="182"/>
        <v>632472.246067565</v>
      </c>
      <c r="BW74" s="36">
        <f t="shared" si="183"/>
        <v>0.0489075895499054</v>
      </c>
      <c r="BX74" s="36"/>
      <c r="BY74" s="41">
        <f>BY75+BY76</f>
        <v>40276.092017441</v>
      </c>
      <c r="BZ74" s="721">
        <f t="shared" si="184"/>
        <v>0.0106882988531278</v>
      </c>
      <c r="CA74" s="41">
        <f>CA75+CA76</f>
        <v>44505.2925026491</v>
      </c>
      <c r="CB74" s="721">
        <f t="shared" si="185"/>
        <v>0.68252669612906</v>
      </c>
      <c r="CC74" s="41">
        <f>SUM(CC75:CC76)</f>
        <v>48922.332233584</v>
      </c>
      <c r="CD74" s="721">
        <f t="shared" si="186"/>
        <v>0.13632101736394</v>
      </c>
      <c r="CE74" s="41">
        <v>46643.0993344631</v>
      </c>
      <c r="CF74" s="721">
        <f t="shared" si="187"/>
        <v>0.136844715124447</v>
      </c>
      <c r="CG74" s="41">
        <v>47845.488817482</v>
      </c>
      <c r="CH74" s="721">
        <f t="shared" si="188"/>
        <v>0.188749568340598</v>
      </c>
      <c r="CI74" s="41">
        <f>CI75+CI76</f>
        <v>47718.016208331</v>
      </c>
      <c r="CJ74" s="721">
        <f t="shared" si="189"/>
        <v>0.268502737845518</v>
      </c>
      <c r="CK74" s="41">
        <f>CK75+CK76</f>
        <v>49707.7929873123</v>
      </c>
      <c r="CL74" s="721">
        <f t="shared" si="190"/>
        <v>0.18218911995852</v>
      </c>
      <c r="CM74" s="41">
        <v>49595.4017614108</v>
      </c>
      <c r="CN74" s="721">
        <f t="shared" si="191"/>
        <v>0.251826180232632</v>
      </c>
      <c r="CO74" s="41">
        <f>SUM(CO75:CO76)</f>
        <v>51785.6490066903</v>
      </c>
      <c r="CP74" s="721">
        <f t="shared" si="192"/>
        <v>0.0984230906859727</v>
      </c>
      <c r="CQ74" s="41">
        <f>SUM(CQ75:CQ76)</f>
        <v>53993.3413178506</v>
      </c>
      <c r="CR74" s="721">
        <f t="shared" si="193"/>
        <v>0.200074798083667</v>
      </c>
      <c r="CS74" s="41">
        <f>CS75+CS76</f>
        <v>59431.4475645141</v>
      </c>
      <c r="CT74" s="721">
        <f t="shared" si="194"/>
        <v>0.0509280032271453</v>
      </c>
      <c r="CU74" s="41">
        <f>CU75+CU76</f>
        <v>62557.9031523335</v>
      </c>
      <c r="CV74" s="721">
        <f t="shared" si="195"/>
        <v>0.106213207655638</v>
      </c>
      <c r="CW74" s="41">
        <f t="shared" si="196"/>
        <v>602981.856904062</v>
      </c>
      <c r="CX74" s="721">
        <f t="shared" si="197"/>
        <v>0.17173171751884</v>
      </c>
      <c r="CY74" s="721"/>
      <c r="CZ74" s="721">
        <f t="shared" si="198"/>
        <v>0.0526060817284582</v>
      </c>
      <c r="DA74" s="721">
        <f t="shared" si="199"/>
        <v>0.10071809067437</v>
      </c>
      <c r="DB74" s="721"/>
      <c r="DC74" s="721"/>
      <c r="DD74" s="721"/>
      <c r="DE74" s="721"/>
      <c r="DF74" s="721"/>
      <c r="DG74" s="721"/>
      <c r="DH74" s="721"/>
      <c r="DI74" s="721"/>
      <c r="DJ74" s="721"/>
      <c r="DK74" s="721"/>
      <c r="DM74" s="41">
        <v>39850.1615811166</v>
      </c>
      <c r="DN74" s="41">
        <v>26451.4629129161</v>
      </c>
      <c r="DO74" s="41">
        <v>43053.2670662688</v>
      </c>
      <c r="DP74" s="41">
        <v>41028.5580026268</v>
      </c>
      <c r="DQ74" s="41">
        <v>40248.5856497686</v>
      </c>
      <c r="DR74" s="41">
        <v>37617.5902382185</v>
      </c>
      <c r="DS74" s="41">
        <v>42047.242821061</v>
      </c>
      <c r="DT74" s="41">
        <v>39618.4410779732</v>
      </c>
      <c r="DU74" s="41">
        <v>47145.4482756274</v>
      </c>
      <c r="DV74" s="41">
        <v>44991.6466907476</v>
      </c>
      <c r="DW74" s="41">
        <v>56003.6356567354</v>
      </c>
      <c r="DX74" s="41">
        <v>56551.3977951054</v>
      </c>
      <c r="DY74" s="721">
        <v>0.269055396790571</v>
      </c>
      <c r="DZ74" s="41">
        <f t="shared" si="200"/>
        <v>514607.437768165</v>
      </c>
      <c r="EA74" s="36">
        <f t="shared" si="201"/>
        <v>-0.0579752384292853</v>
      </c>
      <c r="EB74" s="36"/>
      <c r="EC74" s="737">
        <f t="shared" ref="EC74:EN74" si="203">EC75+EC76</f>
        <v>56932.2431719996</v>
      </c>
      <c r="ED74" s="737">
        <f t="shared" si="203"/>
        <v>24642.9495759104</v>
      </c>
      <c r="EE74" s="737">
        <f t="shared" si="203"/>
        <v>42609.9049424452</v>
      </c>
      <c r="EF74" s="737">
        <f t="shared" si="203"/>
        <v>49791.155569042</v>
      </c>
      <c r="EG74" s="737">
        <f t="shared" si="203"/>
        <v>47025.409223238</v>
      </c>
      <c r="EH74" s="737">
        <f t="shared" si="203"/>
        <v>49878.208176069</v>
      </c>
      <c r="EI74" s="737">
        <f t="shared" si="203"/>
        <v>48055.269994638</v>
      </c>
      <c r="EJ74" s="737">
        <f t="shared" si="203"/>
        <v>45643.0390854019</v>
      </c>
      <c r="EK74" s="737">
        <f t="shared" si="203"/>
        <v>46555.3392237039</v>
      </c>
      <c r="EL74" s="737">
        <f t="shared" si="203"/>
        <v>42613.6503083581</v>
      </c>
      <c r="EM74" s="50">
        <f t="shared" si="203"/>
        <v>47969.0640028706</v>
      </c>
      <c r="EN74" s="50">
        <f t="shared" si="203"/>
        <v>44561.803951288</v>
      </c>
      <c r="EO74" s="724">
        <f t="shared" si="202"/>
        <v>546278.037224965</v>
      </c>
      <c r="EP74" s="36"/>
      <c r="EQ74" s="738"/>
    </row>
    <row r="75" ht="27" customHeight="1" spans="1:147">
      <c r="A75" s="45"/>
      <c r="B75" s="707" t="s">
        <v>92</v>
      </c>
      <c r="C75" s="35">
        <v>10419.3871</v>
      </c>
      <c r="D75" s="36">
        <f t="shared" si="146"/>
        <v>0.0987642361742627</v>
      </c>
      <c r="E75" s="35">
        <v>6671.9555</v>
      </c>
      <c r="F75" s="36">
        <f t="shared" si="147"/>
        <v>-0.0315617045475362</v>
      </c>
      <c r="G75" s="35">
        <v>18658.93</v>
      </c>
      <c r="H75" s="36">
        <f t="shared" si="148"/>
        <v>-0.126399300869612</v>
      </c>
      <c r="I75" s="35">
        <v>12405.4728</v>
      </c>
      <c r="J75" s="36">
        <f t="shared" si="149"/>
        <v>0.0219505289350084</v>
      </c>
      <c r="K75" s="35">
        <v>9212.9042</v>
      </c>
      <c r="L75" s="36">
        <f t="shared" si="150"/>
        <v>-0.00358315784728536</v>
      </c>
      <c r="M75" s="35">
        <v>10862.9243</v>
      </c>
      <c r="N75" s="36">
        <f t="shared" si="151"/>
        <v>-0.0438758510041719</v>
      </c>
      <c r="O75" s="35">
        <v>7687.4779</v>
      </c>
      <c r="P75" s="36">
        <f t="shared" si="152"/>
        <v>-0.0507442408811668</v>
      </c>
      <c r="Q75" s="127"/>
      <c r="R75" s="127"/>
      <c r="S75" s="35">
        <f t="shared" si="153"/>
        <v>75919.0518</v>
      </c>
      <c r="T75" s="36">
        <f t="shared" si="154"/>
        <v>-0.0950995556858295</v>
      </c>
      <c r="U75" s="36"/>
      <c r="V75" s="35">
        <v>9482.8233</v>
      </c>
      <c r="W75" s="36">
        <f t="shared" si="155"/>
        <v>0.42031053452555</v>
      </c>
      <c r="X75" s="35">
        <v>6889.3966</v>
      </c>
      <c r="Y75" s="36">
        <f t="shared" si="156"/>
        <v>0.420482136130396</v>
      </c>
      <c r="Z75" s="35">
        <v>21358.6482</v>
      </c>
      <c r="AA75" s="36">
        <f t="shared" si="157"/>
        <v>0.908409625630234</v>
      </c>
      <c r="AB75" s="35">
        <v>12139.015</v>
      </c>
      <c r="AC75" s="36">
        <f t="shared" si="158"/>
        <v>0.982224534896302</v>
      </c>
      <c r="AD75" s="35">
        <v>9246.0342</v>
      </c>
      <c r="AE75" s="36">
        <f t="shared" si="159"/>
        <v>-0.0709719725358385</v>
      </c>
      <c r="AF75" s="35">
        <v>11361.4161</v>
      </c>
      <c r="AG75" s="36">
        <f t="shared" si="160"/>
        <v>-0.28519740638524</v>
      </c>
      <c r="AH75" s="35">
        <v>8098.4264</v>
      </c>
      <c r="AI75" s="36">
        <f t="shared" si="161"/>
        <v>-0.179542718534762</v>
      </c>
      <c r="AJ75" s="35">
        <v>5321.9245</v>
      </c>
      <c r="AK75" s="36">
        <f t="shared" si="162"/>
        <v>-0.307288472549153</v>
      </c>
      <c r="AL75" s="35">
        <v>11539.2474</v>
      </c>
      <c r="AM75" s="36">
        <f t="shared" si="163"/>
        <v>0.704256953253259</v>
      </c>
      <c r="AN75" s="35">
        <v>6286.6381</v>
      </c>
      <c r="AO75" s="36">
        <f t="shared" si="164"/>
        <v>0.176305508111746</v>
      </c>
      <c r="AP75" s="35">
        <v>6092.2099</v>
      </c>
      <c r="AQ75" s="36">
        <f t="shared" si="165"/>
        <v>-0.0366525423795817</v>
      </c>
      <c r="AR75" s="35">
        <v>12988.2171</v>
      </c>
      <c r="AS75" s="36">
        <f t="shared" si="166"/>
        <v>-0.20694821065155</v>
      </c>
      <c r="AT75" s="35">
        <f t="shared" si="167"/>
        <v>120803.9968</v>
      </c>
      <c r="AU75" s="36">
        <f t="shared" si="168"/>
        <v>0.128383052747939</v>
      </c>
      <c r="AV75" s="36"/>
      <c r="AW75" s="35">
        <f t="shared" si="169"/>
        <v>90681.8716</v>
      </c>
      <c r="AX75" s="35">
        <v>6676.5845</v>
      </c>
      <c r="AY75" s="36">
        <f t="shared" si="170"/>
        <v>0.425021976414408</v>
      </c>
      <c r="AZ75" s="35">
        <v>4850.041</v>
      </c>
      <c r="BA75" s="36">
        <f t="shared" si="171"/>
        <v>-0.0236822685551189</v>
      </c>
      <c r="BB75" s="35">
        <v>11191.8573</v>
      </c>
      <c r="BC75" s="36">
        <f t="shared" si="172"/>
        <v>2.43536557504324</v>
      </c>
      <c r="BD75" s="35">
        <v>6123.9354</v>
      </c>
      <c r="BE75" s="36">
        <f t="shared" si="173"/>
        <v>0.896774956087059</v>
      </c>
      <c r="BF75" s="35">
        <v>9952.3738</v>
      </c>
      <c r="BG75" s="36">
        <f t="shared" si="174"/>
        <v>0.308733409432165</v>
      </c>
      <c r="BH75" s="35">
        <v>15894.4808</v>
      </c>
      <c r="BI75" s="36">
        <f t="shared" si="175"/>
        <v>0.809069537999082</v>
      </c>
      <c r="BJ75" s="35">
        <v>9870.6253</v>
      </c>
      <c r="BK75" s="36">
        <f t="shared" si="176"/>
        <v>2.16933445431403</v>
      </c>
      <c r="BL75" s="35">
        <v>7682.7428</v>
      </c>
      <c r="BM75" s="36">
        <f t="shared" si="177"/>
        <v>0.701397961248196</v>
      </c>
      <c r="BN75" s="35">
        <v>6770.8378</v>
      </c>
      <c r="BO75" s="36">
        <f t="shared" si="178"/>
        <v>0.645649350363688</v>
      </c>
      <c r="BP75" s="35">
        <v>5344.3923</v>
      </c>
      <c r="BQ75" s="36">
        <f t="shared" si="179"/>
        <v>0.516245431135182</v>
      </c>
      <c r="BR75" s="35">
        <v>6324.0006</v>
      </c>
      <c r="BS75" s="36">
        <f t="shared" si="180"/>
        <v>0.718468897618068</v>
      </c>
      <c r="BT75" s="35">
        <v>16377.5144</v>
      </c>
      <c r="BU75" s="36">
        <f t="shared" si="181"/>
        <v>1.19395125591827</v>
      </c>
      <c r="BV75" s="35">
        <f t="shared" si="182"/>
        <v>107059.386</v>
      </c>
      <c r="BW75" s="36">
        <f t="shared" si="183"/>
        <v>0.816291880423825</v>
      </c>
      <c r="BX75" s="36"/>
      <c r="BY75" s="50">
        <v>4685.2502</v>
      </c>
      <c r="BZ75" s="721">
        <f t="shared" si="184"/>
        <v>28.9721737461617</v>
      </c>
      <c r="CA75" s="50">
        <v>4967.6871</v>
      </c>
      <c r="CB75" s="721">
        <f t="shared" si="185"/>
        <v>46.5558788052843</v>
      </c>
      <c r="CC75" s="41">
        <v>3257.8359</v>
      </c>
      <c r="CD75" s="721">
        <f t="shared" si="186"/>
        <v>2.25418470476126</v>
      </c>
      <c r="CE75" s="41">
        <v>3228.6041</v>
      </c>
      <c r="CF75" s="721">
        <f t="shared" si="187"/>
        <v>3.25472732603919</v>
      </c>
      <c r="CG75" s="41">
        <v>7604.5845</v>
      </c>
      <c r="CH75" s="721">
        <f t="shared" si="188"/>
        <v>7.72486101701527</v>
      </c>
      <c r="CI75" s="702">
        <v>8785.9977</v>
      </c>
      <c r="CJ75" s="721">
        <f t="shared" si="189"/>
        <v>13.4879629994544</v>
      </c>
      <c r="CK75" s="702">
        <v>3114.4158</v>
      </c>
      <c r="CL75" s="721">
        <f t="shared" si="190"/>
        <v>3.38480896104883</v>
      </c>
      <c r="CM75" s="41">
        <v>4515.5472</v>
      </c>
      <c r="CN75" s="721">
        <f t="shared" si="191"/>
        <v>6.28052200579469</v>
      </c>
      <c r="CO75" s="702">
        <v>4114.3867</v>
      </c>
      <c r="CP75" s="721">
        <f t="shared" si="192"/>
        <v>5.46267238587167</v>
      </c>
      <c r="CQ75" s="702">
        <v>3524.7541</v>
      </c>
      <c r="CR75" s="721">
        <f t="shared" si="193"/>
        <v>2.883858790893</v>
      </c>
      <c r="CS75" s="50">
        <v>3680.0204</v>
      </c>
      <c r="CT75" s="721">
        <f t="shared" si="194"/>
        <v>-0.11953961172917</v>
      </c>
      <c r="CU75" s="50">
        <v>7464.8488</v>
      </c>
      <c r="CV75" s="721">
        <f t="shared" si="195"/>
        <v>0.785996532201571</v>
      </c>
      <c r="CW75" s="41">
        <f t="shared" si="196"/>
        <v>58943.9325</v>
      </c>
      <c r="CX75" s="721">
        <f t="shared" si="197"/>
        <v>1.76147935125625</v>
      </c>
      <c r="CY75" s="721"/>
      <c r="CZ75" s="721">
        <f t="shared" si="198"/>
        <v>1.02848027690281</v>
      </c>
      <c r="DA75" s="721">
        <f t="shared" si="199"/>
        <v>0.0440502502004323</v>
      </c>
      <c r="DB75" s="721"/>
      <c r="DC75" s="721"/>
      <c r="DD75" s="721"/>
      <c r="DE75" s="721"/>
      <c r="DF75" s="721"/>
      <c r="DG75" s="721"/>
      <c r="DH75" s="721"/>
      <c r="DI75" s="721"/>
      <c r="DJ75" s="721"/>
      <c r="DK75" s="721"/>
      <c r="DM75" s="50">
        <v>156.32</v>
      </c>
      <c r="DN75" s="50">
        <v>104.46</v>
      </c>
      <c r="DO75" s="41">
        <v>1001.122</v>
      </c>
      <c r="DP75" s="41">
        <v>758.8275</v>
      </c>
      <c r="DQ75" s="41">
        <v>871.5995</v>
      </c>
      <c r="DR75" s="41">
        <v>606.4343</v>
      </c>
      <c r="DS75" s="41">
        <v>710.274</v>
      </c>
      <c r="DT75" s="41">
        <v>620.223</v>
      </c>
      <c r="DU75" s="41">
        <v>636.6386</v>
      </c>
      <c r="DV75" s="41">
        <v>907.5392</v>
      </c>
      <c r="DW75" s="41">
        <v>10791.9636</v>
      </c>
      <c r="DX75" s="41">
        <v>4179.6547</v>
      </c>
      <c r="DY75" s="721">
        <v>4.78975082344539</v>
      </c>
      <c r="DZ75" s="41">
        <f t="shared" si="200"/>
        <v>21345.0564</v>
      </c>
      <c r="EA75" s="36">
        <f t="shared" si="201"/>
        <v>2.00147031581121</v>
      </c>
      <c r="EB75" s="36"/>
      <c r="EC75" s="737">
        <v>533.8002</v>
      </c>
      <c r="ED75" s="737">
        <v>397.5087</v>
      </c>
      <c r="EE75" s="737">
        <v>422.5845</v>
      </c>
      <c r="EF75" s="737">
        <v>583.1627</v>
      </c>
      <c r="EG75" s="737">
        <v>595.6073</v>
      </c>
      <c r="EH75" s="737">
        <v>619.3363</v>
      </c>
      <c r="EI75" s="737">
        <v>592.859</v>
      </c>
      <c r="EJ75" s="737">
        <v>625.2176</v>
      </c>
      <c r="EK75" s="737">
        <v>655.5929</v>
      </c>
      <c r="EL75" s="737">
        <v>665.8731</v>
      </c>
      <c r="EM75" s="737">
        <v>698.0853</v>
      </c>
      <c r="EN75" s="737">
        <v>721.9058</v>
      </c>
      <c r="EO75" s="717">
        <f t="shared" si="202"/>
        <v>7111.5334</v>
      </c>
      <c r="EP75" s="36"/>
      <c r="EQ75" s="740">
        <f>SUM(EC75:EN75)</f>
        <v>7111.5334</v>
      </c>
    </row>
    <row r="76" ht="27" customHeight="1" spans="1:147">
      <c r="A76" s="29"/>
      <c r="B76" s="707" t="s">
        <v>93</v>
      </c>
      <c r="C76" s="35">
        <v>49838.6878368319</v>
      </c>
      <c r="D76" s="36">
        <f t="shared" si="146"/>
        <v>0.19758606556506</v>
      </c>
      <c r="E76" s="35">
        <v>32483.7041991437</v>
      </c>
      <c r="F76" s="36">
        <f t="shared" si="147"/>
        <v>-0.148294950626392</v>
      </c>
      <c r="G76" s="35">
        <v>38519.3650943179</v>
      </c>
      <c r="H76" s="36">
        <f t="shared" si="148"/>
        <v>0.00456571173214937</v>
      </c>
      <c r="I76" s="35">
        <v>42649.9347434826</v>
      </c>
      <c r="J76" s="36">
        <f t="shared" si="149"/>
        <v>-0.00565164347769676</v>
      </c>
      <c r="K76" s="35">
        <v>45182.1307786319</v>
      </c>
      <c r="L76" s="36">
        <f t="shared" si="150"/>
        <v>0.00411773810843274</v>
      </c>
      <c r="M76" s="35">
        <v>40873.5117898727</v>
      </c>
      <c r="N76" s="36">
        <f t="shared" si="151"/>
        <v>0.0335790613526561</v>
      </c>
      <c r="O76" s="35">
        <v>45144.1301847638</v>
      </c>
      <c r="P76" s="36">
        <f t="shared" si="152"/>
        <v>0.00267359470194184</v>
      </c>
      <c r="Q76" s="127"/>
      <c r="R76" s="127"/>
      <c r="S76" s="35">
        <f t="shared" si="153"/>
        <v>294691.464627044</v>
      </c>
      <c r="T76" s="36">
        <f t="shared" si="154"/>
        <v>-0.120184202808132</v>
      </c>
      <c r="U76" s="36"/>
      <c r="V76" s="35">
        <v>41615.9550197475</v>
      </c>
      <c r="W76" s="36">
        <f t="shared" si="155"/>
        <v>-0.167872762849294</v>
      </c>
      <c r="X76" s="35">
        <v>38139.6167875652</v>
      </c>
      <c r="Y76" s="36">
        <f t="shared" si="156"/>
        <v>0.516044193247446</v>
      </c>
      <c r="Z76" s="35">
        <v>38344.2960917906</v>
      </c>
      <c r="AA76" s="36">
        <f t="shared" si="157"/>
        <v>-0.0554593711789466</v>
      </c>
      <c r="AB76" s="35">
        <v>42892.3469966292</v>
      </c>
      <c r="AC76" s="36">
        <f t="shared" si="158"/>
        <v>-0.0129878039991542</v>
      </c>
      <c r="AD76" s="35">
        <v>44996.8455529393</v>
      </c>
      <c r="AE76" s="36">
        <f t="shared" si="159"/>
        <v>0.058959478131503</v>
      </c>
      <c r="AF76" s="35">
        <v>39545.6074123455</v>
      </c>
      <c r="AG76" s="36">
        <f t="shared" si="160"/>
        <v>0.153302086725448</v>
      </c>
      <c r="AH76" s="35">
        <v>45023.7549121691</v>
      </c>
      <c r="AI76" s="36">
        <f t="shared" si="161"/>
        <v>0.0126540062622524</v>
      </c>
      <c r="AJ76" s="35">
        <v>44388.3530946931</v>
      </c>
      <c r="AK76" s="36">
        <f t="shared" si="162"/>
        <v>0.00721777017929059</v>
      </c>
      <c r="AL76" s="35">
        <v>43704.4300503039</v>
      </c>
      <c r="AM76" s="36">
        <f t="shared" si="163"/>
        <v>-0.0710276605488422</v>
      </c>
      <c r="AN76" s="35">
        <v>45324.8660474218</v>
      </c>
      <c r="AO76" s="36">
        <f t="shared" si="164"/>
        <v>-0.0836423339308925</v>
      </c>
      <c r="AP76" s="35">
        <v>50303.8691278155</v>
      </c>
      <c r="AQ76" s="36">
        <f t="shared" si="165"/>
        <v>-0.0469283914905873</v>
      </c>
      <c r="AR76" s="35">
        <v>51472.9543520037</v>
      </c>
      <c r="AS76" s="36">
        <f t="shared" si="166"/>
        <v>-0.00228379968841441</v>
      </c>
      <c r="AT76" s="35">
        <f t="shared" si="167"/>
        <v>525752.895445424</v>
      </c>
      <c r="AU76" s="36">
        <f t="shared" si="168"/>
        <v>0.000647177493552809</v>
      </c>
      <c r="AV76" s="36"/>
      <c r="AW76" s="35">
        <f t="shared" si="169"/>
        <v>473822.082714317</v>
      </c>
      <c r="AX76" s="35">
        <v>50011.5284800015</v>
      </c>
      <c r="AY76" s="36">
        <f t="shared" si="170"/>
        <v>0.405179701467296</v>
      </c>
      <c r="AZ76" s="35">
        <v>25157.3252003084</v>
      </c>
      <c r="BA76" s="36">
        <f t="shared" si="171"/>
        <v>-0.363711460415789</v>
      </c>
      <c r="BB76" s="35">
        <v>40595.7085611561</v>
      </c>
      <c r="BC76" s="36">
        <f t="shared" si="172"/>
        <v>-0.111000628045908</v>
      </c>
      <c r="BD76" s="35">
        <v>43456.7548105479</v>
      </c>
      <c r="BE76" s="36">
        <f t="shared" si="173"/>
        <v>0.000973397844580948</v>
      </c>
      <c r="BF76" s="35">
        <v>42491.5650524557</v>
      </c>
      <c r="BG76" s="36">
        <f t="shared" si="174"/>
        <v>0.0559296758645638</v>
      </c>
      <c r="BH76" s="35">
        <v>34289.0278856832</v>
      </c>
      <c r="BI76" s="36">
        <f t="shared" si="175"/>
        <v>-0.119258923645437</v>
      </c>
      <c r="BJ76" s="35">
        <v>44461.1433260938</v>
      </c>
      <c r="BK76" s="36">
        <f t="shared" si="176"/>
        <v>-0.0457625952428089</v>
      </c>
      <c r="BL76" s="35">
        <v>44070.2640569891</v>
      </c>
      <c r="BM76" s="36">
        <f t="shared" si="177"/>
        <v>-0.0223956025201094</v>
      </c>
      <c r="BN76" s="35">
        <v>47045.9971672835</v>
      </c>
      <c r="BO76" s="36">
        <f t="shared" si="178"/>
        <v>-0.0131161859189756</v>
      </c>
      <c r="BP76" s="35">
        <v>49461.9816319664</v>
      </c>
      <c r="BQ76" s="36">
        <f t="shared" si="179"/>
        <v>-0.0199451904912481</v>
      </c>
      <c r="BR76" s="35">
        <v>52780.7865418317</v>
      </c>
      <c r="BS76" s="36">
        <f t="shared" si="180"/>
        <v>-0.0532836695626908</v>
      </c>
      <c r="BT76" s="35">
        <v>51590.7773532481</v>
      </c>
      <c r="BU76" s="36">
        <f t="shared" si="181"/>
        <v>-0.063570209353206</v>
      </c>
      <c r="BV76" s="35">
        <f t="shared" si="182"/>
        <v>525412.860067565</v>
      </c>
      <c r="BW76" s="36">
        <f t="shared" si="183"/>
        <v>-0.0342348639700041</v>
      </c>
      <c r="BX76" s="36"/>
      <c r="BY76" s="50">
        <v>35590.841817441</v>
      </c>
      <c r="BZ76" s="721">
        <f t="shared" si="184"/>
        <v>-0.10336615455299</v>
      </c>
      <c r="CA76" s="50">
        <v>39537.6054026491</v>
      </c>
      <c r="CB76" s="721">
        <f t="shared" si="185"/>
        <v>0.500649069396298</v>
      </c>
      <c r="CC76" s="41">
        <v>45664.496333584</v>
      </c>
      <c r="CD76" s="721">
        <f t="shared" si="186"/>
        <v>0.0859017123055814</v>
      </c>
      <c r="CE76" s="41">
        <v>43414.4952344631</v>
      </c>
      <c r="CF76" s="721">
        <f t="shared" si="187"/>
        <v>0.0780925199296074</v>
      </c>
      <c r="CG76" s="41">
        <v>40240.904317482</v>
      </c>
      <c r="CH76" s="721">
        <f t="shared" si="188"/>
        <v>0.0219396721838367</v>
      </c>
      <c r="CI76" s="50">
        <v>38932.018508331</v>
      </c>
      <c r="CJ76" s="721">
        <f t="shared" si="189"/>
        <v>0.0518995562667357</v>
      </c>
      <c r="CK76" s="702">
        <v>46593.3771873123</v>
      </c>
      <c r="CL76" s="721">
        <f t="shared" si="190"/>
        <v>0.127159985750411</v>
      </c>
      <c r="CM76" s="41">
        <v>45079.8545614108</v>
      </c>
      <c r="CN76" s="721">
        <f t="shared" si="191"/>
        <v>0.15594652225591</v>
      </c>
      <c r="CO76" s="41">
        <v>47671.2623066903</v>
      </c>
      <c r="CP76" s="721">
        <f t="shared" si="192"/>
        <v>0.0249942460185575</v>
      </c>
      <c r="CQ76" s="41">
        <v>50468.5872178506</v>
      </c>
      <c r="CR76" s="721">
        <f t="shared" si="193"/>
        <v>0.144824974134794</v>
      </c>
      <c r="CS76" s="41">
        <v>55751.4271645141</v>
      </c>
      <c r="CT76" s="721">
        <f t="shared" si="194"/>
        <v>0.064532587034029</v>
      </c>
      <c r="CU76" s="41">
        <v>55093.0543523335</v>
      </c>
      <c r="CV76" s="721">
        <f t="shared" si="195"/>
        <v>0.0519614413498952</v>
      </c>
      <c r="CW76" s="41">
        <f t="shared" si="196"/>
        <v>544037.924404062</v>
      </c>
      <c r="CX76" s="721">
        <f t="shared" si="197"/>
        <v>0.102938202777718</v>
      </c>
      <c r="CY76" s="721"/>
      <c r="CZ76" s="721">
        <f t="shared" si="198"/>
        <v>-0.0118090754921455</v>
      </c>
      <c r="DA76" s="721">
        <f t="shared" si="199"/>
        <v>0.10467580405728</v>
      </c>
      <c r="DB76" s="721"/>
      <c r="DC76" s="721"/>
      <c r="DD76" s="721"/>
      <c r="DE76" s="721"/>
      <c r="DF76" s="721"/>
      <c r="DG76" s="721"/>
      <c r="DH76" s="721"/>
      <c r="DI76" s="721"/>
      <c r="DJ76" s="721"/>
      <c r="DK76" s="721"/>
      <c r="DL76" s="21"/>
      <c r="DM76" s="745">
        <v>39693.8415811166</v>
      </c>
      <c r="DN76" s="745">
        <v>26347.0029129161</v>
      </c>
      <c r="DO76" s="727">
        <v>42052.1450662688</v>
      </c>
      <c r="DP76" s="727">
        <v>40269.7305026268</v>
      </c>
      <c r="DQ76" s="727">
        <v>39376.9861497686</v>
      </c>
      <c r="DR76" s="727">
        <v>37011.1559382185</v>
      </c>
      <c r="DS76" s="727">
        <v>41336.968821061</v>
      </c>
      <c r="DT76" s="727">
        <v>38998.2180779733</v>
      </c>
      <c r="DU76" s="727">
        <v>46508.8096756274</v>
      </c>
      <c r="DV76" s="727">
        <v>44084.1074907476</v>
      </c>
      <c r="DW76" s="727">
        <v>45211.6720567354</v>
      </c>
      <c r="DX76" s="727">
        <v>52371.7430951054</v>
      </c>
      <c r="DY76" s="728">
        <v>0.194613703580576</v>
      </c>
      <c r="DZ76" s="727">
        <f t="shared" si="200"/>
        <v>493262.381368165</v>
      </c>
      <c r="EA76" s="729">
        <f t="shared" si="201"/>
        <v>-0.0851390472723091</v>
      </c>
      <c r="EB76" s="741"/>
      <c r="EC76" s="737">
        <v>56398.4429719996</v>
      </c>
      <c r="ED76" s="737">
        <v>24245.4408759104</v>
      </c>
      <c r="EE76" s="737">
        <v>42187.3204424452</v>
      </c>
      <c r="EF76" s="737">
        <v>49207.992869042</v>
      </c>
      <c r="EG76" s="737">
        <v>46429.801923238</v>
      </c>
      <c r="EH76" s="737">
        <v>49258.871876069</v>
      </c>
      <c r="EI76" s="737">
        <v>47462.410994638</v>
      </c>
      <c r="EJ76" s="737">
        <v>45017.8214854019</v>
      </c>
      <c r="EK76" s="737">
        <v>45899.7463237039</v>
      </c>
      <c r="EL76" s="737">
        <v>41947.7772083581</v>
      </c>
      <c r="EM76" s="737">
        <v>47270.9787028706</v>
      </c>
      <c r="EN76" s="737">
        <v>43839.898151288</v>
      </c>
      <c r="EO76" s="717">
        <f t="shared" si="202"/>
        <v>539166.503824965</v>
      </c>
      <c r="EP76" s="36"/>
      <c r="EQ76" s="740">
        <f>SUM(EC76:EN76)</f>
        <v>539166.503824965</v>
      </c>
    </row>
    <row r="77" s="206" customFormat="1" ht="27" customHeight="1" spans="1:147">
      <c r="A77" s="707" t="s">
        <v>104</v>
      </c>
      <c r="B77" s="707" t="s">
        <v>88</v>
      </c>
      <c r="C77" s="35">
        <v>853.664819439053</v>
      </c>
      <c r="D77" s="36">
        <f t="shared" si="146"/>
        <v>0.219857685869461</v>
      </c>
      <c r="E77" s="35">
        <v>507.340076816373</v>
      </c>
      <c r="F77" s="36">
        <f t="shared" si="147"/>
        <v>-0.141644139496978</v>
      </c>
      <c r="G77" s="35">
        <v>773.645208337742</v>
      </c>
      <c r="H77" s="36">
        <f t="shared" si="148"/>
        <v>-0.0273473519339604</v>
      </c>
      <c r="I77" s="35">
        <v>825.079608112547</v>
      </c>
      <c r="J77" s="36">
        <f t="shared" si="149"/>
        <v>-0.00681983780444584</v>
      </c>
      <c r="K77" s="35">
        <v>846.492203669864</v>
      </c>
      <c r="L77" s="36">
        <f t="shared" si="150"/>
        <v>0.030524444154397</v>
      </c>
      <c r="M77" s="35">
        <v>861.713423484089</v>
      </c>
      <c r="N77" s="36">
        <f t="shared" si="151"/>
        <v>0.14119513704223</v>
      </c>
      <c r="O77" s="35">
        <v>785.635188406941</v>
      </c>
      <c r="P77" s="36">
        <f t="shared" si="152"/>
        <v>0.0891597196956067</v>
      </c>
      <c r="Q77" s="127"/>
      <c r="R77" s="127"/>
      <c r="S77" s="35">
        <f t="shared" si="153"/>
        <v>5453.57052826661</v>
      </c>
      <c r="T77" s="36">
        <f t="shared" si="154"/>
        <v>-0.0858953093874142</v>
      </c>
      <c r="U77" s="36"/>
      <c r="V77" s="35">
        <v>699.806894958077</v>
      </c>
      <c r="W77" s="36">
        <f t="shared" si="155"/>
        <v>-0.074161824298885</v>
      </c>
      <c r="X77" s="35">
        <v>591.060305126893</v>
      </c>
      <c r="Y77" s="36">
        <f t="shared" si="156"/>
        <v>0.579523468558568</v>
      </c>
      <c r="Z77" s="35">
        <v>795.397215929046</v>
      </c>
      <c r="AA77" s="36">
        <f t="shared" si="157"/>
        <v>0.113964009433531</v>
      </c>
      <c r="AB77" s="35">
        <v>830.745155328718</v>
      </c>
      <c r="AC77" s="36">
        <f t="shared" si="158"/>
        <v>0.0979228208966318</v>
      </c>
      <c r="AD77" s="35">
        <v>821.418849859945</v>
      </c>
      <c r="AE77" s="36">
        <f t="shared" si="159"/>
        <v>0.0649359812881893</v>
      </c>
      <c r="AF77" s="35">
        <v>755.097349711368</v>
      </c>
      <c r="AG77" s="36">
        <f t="shared" si="160"/>
        <v>0.0764668049369848</v>
      </c>
      <c r="AH77" s="35">
        <v>721.322294793005</v>
      </c>
      <c r="AI77" s="36">
        <f t="shared" si="161"/>
        <v>0.0374244538678949</v>
      </c>
      <c r="AJ77" s="35">
        <v>751.175940374687</v>
      </c>
      <c r="AK77" s="36">
        <f t="shared" si="162"/>
        <v>-0.000341405785502125</v>
      </c>
      <c r="AL77" s="35">
        <v>850.265915125497</v>
      </c>
      <c r="AM77" s="36">
        <f t="shared" si="163"/>
        <v>0.0865955298481444</v>
      </c>
      <c r="AN77" s="35">
        <v>746.412261484699</v>
      </c>
      <c r="AO77" s="36">
        <f t="shared" si="164"/>
        <v>-0.0190715656939415</v>
      </c>
      <c r="AP77" s="35">
        <v>765.944517439487</v>
      </c>
      <c r="AQ77" s="36">
        <f t="shared" si="165"/>
        <v>0.0215330801038172</v>
      </c>
      <c r="AR77" s="35">
        <v>777.054506886684</v>
      </c>
      <c r="AS77" s="36">
        <f t="shared" si="166"/>
        <v>-0.00497262118226227</v>
      </c>
      <c r="AT77" s="35">
        <f t="shared" si="167"/>
        <v>9105.70120701811</v>
      </c>
      <c r="AU77" s="36">
        <f t="shared" si="168"/>
        <v>0.0594886146928315</v>
      </c>
      <c r="AV77" s="36"/>
      <c r="AW77" s="35">
        <f t="shared" si="169"/>
        <v>7813.49263092124</v>
      </c>
      <c r="AX77" s="35">
        <v>755.863079882324</v>
      </c>
      <c r="AY77" s="36">
        <f t="shared" si="170"/>
        <v>0.665126440296621</v>
      </c>
      <c r="AZ77" s="35">
        <v>374.201660749162</v>
      </c>
      <c r="BA77" s="36">
        <f t="shared" si="171"/>
        <v>-0.318235564050176</v>
      </c>
      <c r="BB77" s="35">
        <v>714.024159841141</v>
      </c>
      <c r="BC77" s="36">
        <f t="shared" si="172"/>
        <v>0.0526069977050991</v>
      </c>
      <c r="BD77" s="35">
        <v>756.651687638918</v>
      </c>
      <c r="BE77" s="36">
        <f t="shared" si="173"/>
        <v>0.112186401992315</v>
      </c>
      <c r="BF77" s="35">
        <v>771.3316709107</v>
      </c>
      <c r="BG77" s="36">
        <f t="shared" si="174"/>
        <v>0.103905885453554</v>
      </c>
      <c r="BH77" s="35">
        <v>701.459019682052</v>
      </c>
      <c r="BI77" s="36">
        <f t="shared" si="175"/>
        <v>0.0239474654169776</v>
      </c>
      <c r="BJ77" s="35">
        <v>695.301033346239</v>
      </c>
      <c r="BK77" s="36">
        <f t="shared" si="176"/>
        <v>0.0790420382546966</v>
      </c>
      <c r="BL77" s="35">
        <v>751.432483772061</v>
      </c>
      <c r="BM77" s="36">
        <f t="shared" si="177"/>
        <v>0.0362875086127192</v>
      </c>
      <c r="BN77" s="35">
        <v>782.504521479418</v>
      </c>
      <c r="BO77" s="36">
        <f t="shared" si="178"/>
        <v>0.0913396155505053</v>
      </c>
      <c r="BP77" s="35">
        <v>760.924278857036</v>
      </c>
      <c r="BQ77" s="36">
        <f t="shared" si="179"/>
        <v>0.0897518476820967</v>
      </c>
      <c r="BR77" s="35">
        <v>749.799034762188</v>
      </c>
      <c r="BS77" s="36">
        <f t="shared" si="180"/>
        <v>0.0921793114288392</v>
      </c>
      <c r="BT77" s="35">
        <v>780.937814806621</v>
      </c>
      <c r="BU77" s="36">
        <f t="shared" si="181"/>
        <v>0.156795554142037</v>
      </c>
      <c r="BV77" s="35">
        <f t="shared" si="182"/>
        <v>8594.43044572786</v>
      </c>
      <c r="BW77" s="36">
        <f t="shared" si="183"/>
        <v>0.0890578898363781</v>
      </c>
      <c r="BX77" s="36"/>
      <c r="BY77" s="50">
        <v>453.937347693354</v>
      </c>
      <c r="BZ77" s="721">
        <f t="shared" si="184"/>
        <v>-0.151287759609129</v>
      </c>
      <c r="CA77" s="50">
        <v>548.872368544466</v>
      </c>
      <c r="CB77" s="721">
        <f t="shared" si="185"/>
        <v>0.482110472185823</v>
      </c>
      <c r="CC77" s="41">
        <v>678.338792538774</v>
      </c>
      <c r="CD77" s="721">
        <f t="shared" si="186"/>
        <v>0.142571465593603</v>
      </c>
      <c r="CE77" s="41">
        <v>680.328123310526</v>
      </c>
      <c r="CF77" s="721">
        <f t="shared" si="187"/>
        <v>0.189544799931213</v>
      </c>
      <c r="CG77" s="41">
        <v>698.729557541754</v>
      </c>
      <c r="CH77" s="721">
        <f t="shared" si="188"/>
        <v>0.115738693459572</v>
      </c>
      <c r="CI77" s="702">
        <v>685.053719427295</v>
      </c>
      <c r="CJ77" s="721">
        <f t="shared" si="189"/>
        <v>0.187530699705841</v>
      </c>
      <c r="CK77" s="702">
        <v>644.368809273509</v>
      </c>
      <c r="CL77" s="721">
        <f t="shared" si="190"/>
        <v>0.169830051296749</v>
      </c>
      <c r="CM77" s="41">
        <v>725.119696538662</v>
      </c>
      <c r="CN77" s="721">
        <f t="shared" si="191"/>
        <v>0.178583408676477</v>
      </c>
      <c r="CO77" s="41">
        <v>717.012843966723</v>
      </c>
      <c r="CP77" s="721">
        <f t="shared" si="192"/>
        <v>0.0742495593008747</v>
      </c>
      <c r="CQ77" s="41">
        <v>698.254635195639</v>
      </c>
      <c r="CR77" s="721">
        <f t="shared" si="193"/>
        <v>0.116526869439002</v>
      </c>
      <c r="CS77" s="41">
        <v>686.516423554358</v>
      </c>
      <c r="CT77" s="721">
        <f t="shared" si="194"/>
        <v>0.133229051416158</v>
      </c>
      <c r="CU77" s="41">
        <v>675.087150888837</v>
      </c>
      <c r="CV77" s="721">
        <f t="shared" si="195"/>
        <v>0.114362811109674</v>
      </c>
      <c r="CW77" s="41">
        <f t="shared" si="196"/>
        <v>7891.6194684739</v>
      </c>
      <c r="CX77" s="721">
        <f t="shared" si="197"/>
        <v>0.135851237338048</v>
      </c>
      <c r="CY77" s="721"/>
      <c r="CZ77" s="721">
        <f t="shared" si="198"/>
        <v>-0.0166482144831253</v>
      </c>
      <c r="DA77" s="721">
        <f t="shared" si="199"/>
        <v>-0.0168107894306956</v>
      </c>
      <c r="DB77" s="721"/>
      <c r="DC77" s="721"/>
      <c r="DD77" s="721"/>
      <c r="DE77" s="721"/>
      <c r="DF77" s="721"/>
      <c r="DG77" s="721"/>
      <c r="DH77" s="721"/>
      <c r="DI77" s="721"/>
      <c r="DJ77" s="721"/>
      <c r="DK77" s="721"/>
      <c r="DL77" s="222"/>
      <c r="DM77" s="742">
        <v>534.854248695995</v>
      </c>
      <c r="DN77" s="742">
        <v>370.331617544667</v>
      </c>
      <c r="DO77" s="731">
        <v>593.694847951025</v>
      </c>
      <c r="DP77" s="731">
        <v>571.923077928521</v>
      </c>
      <c r="DQ77" s="731">
        <v>626.248387402612</v>
      </c>
      <c r="DR77" s="731">
        <v>576.872429148137</v>
      </c>
      <c r="DS77" s="731">
        <v>550.822581929085</v>
      </c>
      <c r="DT77" s="731">
        <v>615.246821905422</v>
      </c>
      <c r="DU77" s="731">
        <v>667.454631709002</v>
      </c>
      <c r="DV77" s="731">
        <v>625.38095079295</v>
      </c>
      <c r="DW77" s="731">
        <v>609.122830976859</v>
      </c>
      <c r="DX77" s="731">
        <v>605.805527749612</v>
      </c>
      <c r="DY77" s="732">
        <v>-0.0946523738520002</v>
      </c>
      <c r="DZ77" s="731">
        <f t="shared" si="200"/>
        <v>6947.75795373389</v>
      </c>
      <c r="EA77" s="733">
        <f t="shared" si="201"/>
        <v>-0.150392949328385</v>
      </c>
      <c r="EB77" s="743"/>
      <c r="EC77" s="737">
        <v>814.1078647977</v>
      </c>
      <c r="ED77" s="737">
        <v>300.054617292605</v>
      </c>
      <c r="EE77" s="737">
        <v>595.403580738167</v>
      </c>
      <c r="EF77" s="737">
        <v>743.502835085616</v>
      </c>
      <c r="EG77" s="737">
        <v>751.379557215195</v>
      </c>
      <c r="EH77" s="737">
        <v>809.007688963057</v>
      </c>
      <c r="EI77" s="737">
        <v>700.54981039741</v>
      </c>
      <c r="EJ77" s="737">
        <v>712.133473392525</v>
      </c>
      <c r="EK77" s="737">
        <v>720.391544385534</v>
      </c>
      <c r="EL77" s="737">
        <v>653.527096037961</v>
      </c>
      <c r="EM77" s="737">
        <v>708.413930079606</v>
      </c>
      <c r="EN77" s="737">
        <v>669.14134444373</v>
      </c>
      <c r="EO77" s="724">
        <f t="shared" si="202"/>
        <v>8177.61334282911</v>
      </c>
      <c r="EP77" s="36"/>
      <c r="EQ77" s="740">
        <f>SUM(EC77:EN77)</f>
        <v>8177.61334282911</v>
      </c>
    </row>
    <row r="78" ht="27" customHeight="1" spans="1:147">
      <c r="A78" s="45"/>
      <c r="B78" s="707" t="s">
        <v>89</v>
      </c>
      <c r="C78" s="35">
        <v>61.2664</v>
      </c>
      <c r="D78" s="36">
        <f t="shared" si="146"/>
        <v>-0.43255406427974</v>
      </c>
      <c r="E78" s="35">
        <v>52.0025</v>
      </c>
      <c r="F78" s="36">
        <f t="shared" si="147"/>
        <v>-0.468333633233276</v>
      </c>
      <c r="G78" s="35">
        <v>53.8582</v>
      </c>
      <c r="H78" s="36">
        <f t="shared" si="148"/>
        <v>-0.487135097662797</v>
      </c>
      <c r="I78" s="35">
        <v>57.6367</v>
      </c>
      <c r="J78" s="36">
        <f t="shared" si="149"/>
        <v>-0.502207977392523</v>
      </c>
      <c r="K78" s="35">
        <v>63.9214</v>
      </c>
      <c r="L78" s="36">
        <f t="shared" si="150"/>
        <v>-0.469690382956129</v>
      </c>
      <c r="M78" s="35">
        <v>70.0904</v>
      </c>
      <c r="N78" s="36">
        <f t="shared" si="151"/>
        <v>-0.444461969759057</v>
      </c>
      <c r="O78" s="35">
        <v>50.6647</v>
      </c>
      <c r="P78" s="36">
        <f t="shared" si="152"/>
        <v>-0.58153662412491</v>
      </c>
      <c r="Q78" s="127"/>
      <c r="R78" s="127"/>
      <c r="S78" s="35">
        <f t="shared" si="153"/>
        <v>409.4403</v>
      </c>
      <c r="T78" s="36">
        <f t="shared" si="154"/>
        <v>-0.549677386714151</v>
      </c>
      <c r="U78" s="36"/>
      <c r="V78" s="35">
        <v>107.9687</v>
      </c>
      <c r="W78" s="36">
        <f t="shared" si="155"/>
        <v>0.0247939139967635</v>
      </c>
      <c r="X78" s="35">
        <v>97.8104</v>
      </c>
      <c r="Y78" s="36">
        <f t="shared" si="156"/>
        <v>0.0562837883078144</v>
      </c>
      <c r="Z78" s="35">
        <v>105.0144</v>
      </c>
      <c r="AA78" s="36">
        <f t="shared" si="157"/>
        <v>-0.115825314407293</v>
      </c>
      <c r="AB78" s="35">
        <v>115.7847</v>
      </c>
      <c r="AC78" s="36">
        <f t="shared" si="158"/>
        <v>-0.0370525923591087</v>
      </c>
      <c r="AD78" s="35">
        <v>120.536</v>
      </c>
      <c r="AE78" s="36">
        <f t="shared" si="159"/>
        <v>-0.0047682545711254</v>
      </c>
      <c r="AF78" s="35">
        <v>126.1667</v>
      </c>
      <c r="AG78" s="36">
        <f t="shared" si="160"/>
        <v>0.0346426137607705</v>
      </c>
      <c r="AH78" s="35">
        <v>121.0732</v>
      </c>
      <c r="AI78" s="36">
        <f t="shared" si="161"/>
        <v>-0.00870583322757734</v>
      </c>
      <c r="AJ78" s="35">
        <v>114.8614</v>
      </c>
      <c r="AK78" s="36">
        <f t="shared" si="162"/>
        <v>-0.035916418010668</v>
      </c>
      <c r="AL78" s="35">
        <v>115.2777</v>
      </c>
      <c r="AM78" s="36">
        <f t="shared" si="163"/>
        <v>-0.00611791118510396</v>
      </c>
      <c r="AN78" s="35">
        <v>105.9866</v>
      </c>
      <c r="AO78" s="36">
        <f t="shared" si="164"/>
        <v>-0.0579965319224011</v>
      </c>
      <c r="AP78" s="35">
        <v>104.2707</v>
      </c>
      <c r="AQ78" s="36">
        <f t="shared" si="165"/>
        <v>-0.0484695949429697</v>
      </c>
      <c r="AR78" s="35">
        <v>114.2938</v>
      </c>
      <c r="AS78" s="36">
        <f t="shared" si="166"/>
        <v>-0.085984495280929</v>
      </c>
      <c r="AT78" s="35">
        <f t="shared" si="167"/>
        <v>1349.0443</v>
      </c>
      <c r="AU78" s="36">
        <f t="shared" si="168"/>
        <v>-0.0255569456222291</v>
      </c>
      <c r="AV78" s="36"/>
      <c r="AW78" s="35">
        <f t="shared" si="169"/>
        <v>1259.3802</v>
      </c>
      <c r="AX78" s="35">
        <v>105.3565</v>
      </c>
      <c r="AY78" s="36">
        <f t="shared" si="170"/>
        <v>0.103256789034922</v>
      </c>
      <c r="AZ78" s="35">
        <v>92.5986</v>
      </c>
      <c r="BA78" s="36">
        <f t="shared" si="171"/>
        <v>-0.275074881356304</v>
      </c>
      <c r="BB78" s="35">
        <v>118.7711</v>
      </c>
      <c r="BC78" s="36">
        <f t="shared" si="172"/>
        <v>-0.0666318271119842</v>
      </c>
      <c r="BD78" s="35">
        <v>120.2399</v>
      </c>
      <c r="BE78" s="36">
        <f t="shared" si="173"/>
        <v>-0.123503452337909</v>
      </c>
      <c r="BF78" s="35">
        <v>121.1135</v>
      </c>
      <c r="BG78" s="36">
        <f t="shared" si="174"/>
        <v>-0.119223868917886</v>
      </c>
      <c r="BH78" s="35">
        <v>121.9423</v>
      </c>
      <c r="BI78" s="36">
        <f t="shared" si="175"/>
        <v>-0.117751284930429</v>
      </c>
      <c r="BJ78" s="35">
        <v>122.1365</v>
      </c>
      <c r="BK78" s="36">
        <f t="shared" si="176"/>
        <v>-0.0690921978788354</v>
      </c>
      <c r="BL78" s="35">
        <v>119.1405</v>
      </c>
      <c r="BM78" s="36">
        <f t="shared" si="177"/>
        <v>-0.0455145219140582</v>
      </c>
      <c r="BN78" s="35">
        <v>115.9873</v>
      </c>
      <c r="BO78" s="36">
        <f t="shared" si="178"/>
        <v>-0.0516087621321516</v>
      </c>
      <c r="BP78" s="35">
        <v>112.5119</v>
      </c>
      <c r="BQ78" s="36">
        <f t="shared" si="179"/>
        <v>0.000185792641189009</v>
      </c>
      <c r="BR78" s="35">
        <v>109.5821</v>
      </c>
      <c r="BS78" s="36">
        <f t="shared" si="180"/>
        <v>0.0257432471012871</v>
      </c>
      <c r="BT78" s="35">
        <v>125.0458</v>
      </c>
      <c r="BU78" s="36">
        <f t="shared" si="181"/>
        <v>0.1244175402439</v>
      </c>
      <c r="BV78" s="35">
        <f t="shared" si="182"/>
        <v>1384.426</v>
      </c>
      <c r="BW78" s="36">
        <f t="shared" si="183"/>
        <v>-0.0596487605481022</v>
      </c>
      <c r="BX78" s="36"/>
      <c r="BY78" s="50">
        <v>95.4959</v>
      </c>
      <c r="BZ78" s="721">
        <f t="shared" si="184"/>
        <v>48.1562773459618</v>
      </c>
      <c r="CA78" s="50">
        <v>127.7354</v>
      </c>
      <c r="CB78" s="721">
        <f t="shared" si="185"/>
        <v>78.9145395395395</v>
      </c>
      <c r="CC78" s="41">
        <v>127.25</v>
      </c>
      <c r="CD78" s="721">
        <f t="shared" si="186"/>
        <v>67.9776669557676</v>
      </c>
      <c r="CE78" s="41">
        <v>137.1824</v>
      </c>
      <c r="CF78" s="721">
        <f t="shared" si="187"/>
        <v>159.578719419408</v>
      </c>
      <c r="CG78" s="41">
        <v>137.5077</v>
      </c>
      <c r="CH78" s="721">
        <f t="shared" si="188"/>
        <v>95.5779603876949</v>
      </c>
      <c r="CI78" s="702">
        <v>138.2176</v>
      </c>
      <c r="CJ78" s="721">
        <f t="shared" si="189"/>
        <v>61.4119931364581</v>
      </c>
      <c r="CK78" s="702">
        <v>131.2015</v>
      </c>
      <c r="CL78" s="721">
        <f t="shared" si="190"/>
        <v>57.927240062879</v>
      </c>
      <c r="CM78" s="41">
        <v>124.8217</v>
      </c>
      <c r="CN78" s="721">
        <f t="shared" si="191"/>
        <v>72.9815670934092</v>
      </c>
      <c r="CO78" s="41">
        <v>122.299</v>
      </c>
      <c r="CP78" s="721">
        <f t="shared" si="192"/>
        <v>26.0926652045812</v>
      </c>
      <c r="CQ78" s="41">
        <v>112.491</v>
      </c>
      <c r="CR78" s="721">
        <f t="shared" si="193"/>
        <v>27.7384717574023</v>
      </c>
      <c r="CS78" s="41">
        <v>106.8319</v>
      </c>
      <c r="CT78" s="721">
        <f t="shared" si="194"/>
        <v>25.2550749569919</v>
      </c>
      <c r="CU78" s="41">
        <v>111.2094</v>
      </c>
      <c r="CV78" s="721">
        <f t="shared" si="195"/>
        <v>26.3308921110838</v>
      </c>
      <c r="CW78" s="41">
        <f t="shared" si="196"/>
        <v>1472.2435</v>
      </c>
      <c r="CX78" s="721">
        <f t="shared" si="197"/>
        <v>47.6179367873218</v>
      </c>
      <c r="CY78" s="721"/>
      <c r="CZ78" s="721">
        <f t="shared" si="198"/>
        <v>0.0409755887520487</v>
      </c>
      <c r="DA78" s="721">
        <f t="shared" si="199"/>
        <v>-0.0503071356819657</v>
      </c>
      <c r="DB78" s="721"/>
      <c r="DC78" s="721"/>
      <c r="DD78" s="721"/>
      <c r="DE78" s="721"/>
      <c r="DF78" s="721"/>
      <c r="DG78" s="721"/>
      <c r="DH78" s="721"/>
      <c r="DI78" s="721"/>
      <c r="DJ78" s="721"/>
      <c r="DK78" s="721"/>
      <c r="DL78" s="735" t="s">
        <v>104</v>
      </c>
      <c r="DM78" s="742">
        <v>1.9427</v>
      </c>
      <c r="DN78" s="742">
        <v>1.5984</v>
      </c>
      <c r="DO78" s="731">
        <v>1.8448</v>
      </c>
      <c r="DP78" s="731">
        <v>0.8543</v>
      </c>
      <c r="DQ78" s="731">
        <v>1.4238</v>
      </c>
      <c r="DR78" s="731">
        <v>2.2146</v>
      </c>
      <c r="DS78" s="731">
        <v>2.2265</v>
      </c>
      <c r="DT78" s="731">
        <v>1.6872</v>
      </c>
      <c r="DU78" s="731">
        <v>4.5141</v>
      </c>
      <c r="DV78" s="731">
        <v>3.9143</v>
      </c>
      <c r="DW78" s="731">
        <v>3.9922</v>
      </c>
      <c r="DX78" s="731">
        <v>4.069</v>
      </c>
      <c r="DY78" s="732">
        <v>1.22471295790049</v>
      </c>
      <c r="DZ78" s="731">
        <f t="shared" si="200"/>
        <v>30.2819</v>
      </c>
      <c r="EA78" s="733">
        <f t="shared" si="201"/>
        <v>0.276036377396527</v>
      </c>
      <c r="EB78" s="733"/>
      <c r="EC78" s="737">
        <v>2.56148</v>
      </c>
      <c r="ED78" s="737">
        <v>2.0366</v>
      </c>
      <c r="EE78" s="737">
        <v>2.20782</v>
      </c>
      <c r="EF78" s="737">
        <v>2.18532</v>
      </c>
      <c r="EG78" s="737">
        <v>2.1594</v>
      </c>
      <c r="EH78" s="737">
        <v>1.9574</v>
      </c>
      <c r="EI78" s="737">
        <v>1.7941</v>
      </c>
      <c r="EJ78" s="737">
        <v>1.8056</v>
      </c>
      <c r="EK78" s="737">
        <v>1.7639</v>
      </c>
      <c r="EL78" s="737">
        <v>1.6744</v>
      </c>
      <c r="EM78" s="737">
        <v>1.7562</v>
      </c>
      <c r="EN78" s="737">
        <v>1.829</v>
      </c>
      <c r="EO78" s="717">
        <f t="shared" si="202"/>
        <v>23.73122</v>
      </c>
      <c r="EP78" s="36"/>
      <c r="EQ78" s="740">
        <f>SUM(EC78:EN78)</f>
        <v>23.73122</v>
      </c>
    </row>
    <row r="79" s="206" customFormat="1" ht="27" customHeight="1" spans="1:147">
      <c r="A79" s="45"/>
      <c r="B79" s="707" t="s">
        <v>90</v>
      </c>
      <c r="C79" s="35">
        <v>792.398419439053</v>
      </c>
      <c r="D79" s="36">
        <f t="shared" si="146"/>
        <v>0.338876784549505</v>
      </c>
      <c r="E79" s="35">
        <v>455.337576816373</v>
      </c>
      <c r="F79" s="36">
        <f t="shared" si="147"/>
        <v>-0.0768623124230845</v>
      </c>
      <c r="G79" s="35">
        <v>719.787008337742</v>
      </c>
      <c r="H79" s="36">
        <f t="shared" si="148"/>
        <v>0.0425911417988105</v>
      </c>
      <c r="I79" s="35">
        <v>767.442908112547</v>
      </c>
      <c r="J79" s="36">
        <f t="shared" si="149"/>
        <v>0.0734060917532833</v>
      </c>
      <c r="K79" s="35">
        <v>782.570803669864</v>
      </c>
      <c r="L79" s="36">
        <f t="shared" si="150"/>
        <v>0.116550082265877</v>
      </c>
      <c r="M79" s="35">
        <v>791.623023484089</v>
      </c>
      <c r="N79" s="36">
        <f t="shared" si="151"/>
        <v>0.258680943355813</v>
      </c>
      <c r="O79" s="35">
        <v>734.970488406941</v>
      </c>
      <c r="P79" s="36">
        <f t="shared" si="152"/>
        <v>0.224442476936004</v>
      </c>
      <c r="Q79" s="127"/>
      <c r="R79" s="127"/>
      <c r="S79" s="35">
        <f t="shared" si="153"/>
        <v>5044.13022826661</v>
      </c>
      <c r="T79" s="36">
        <f t="shared" si="154"/>
        <v>-0.0025071698483109</v>
      </c>
      <c r="U79" s="36"/>
      <c r="V79" s="35">
        <v>591.838194958077</v>
      </c>
      <c r="W79" s="36">
        <f t="shared" si="155"/>
        <v>-0.0901887647852233</v>
      </c>
      <c r="X79" s="35">
        <v>493.249905126893</v>
      </c>
      <c r="Y79" s="36">
        <f t="shared" si="156"/>
        <v>0.751578636306995</v>
      </c>
      <c r="Z79" s="35">
        <v>690.382815929046</v>
      </c>
      <c r="AA79" s="36">
        <f t="shared" si="157"/>
        <v>0.159813972419214</v>
      </c>
      <c r="AB79" s="35">
        <v>714.960455328718</v>
      </c>
      <c r="AC79" s="36">
        <f t="shared" si="158"/>
        <v>0.123424281597949</v>
      </c>
      <c r="AD79" s="35">
        <v>700.882849859945</v>
      </c>
      <c r="AE79" s="36">
        <f t="shared" si="159"/>
        <v>0.0779195064301015</v>
      </c>
      <c r="AF79" s="35">
        <v>628.930649711368</v>
      </c>
      <c r="AG79" s="36">
        <f t="shared" si="160"/>
        <v>0.0852674795240189</v>
      </c>
      <c r="AH79" s="35">
        <v>600.249094793005</v>
      </c>
      <c r="AI79" s="36">
        <f t="shared" si="161"/>
        <v>0.0472544267326542</v>
      </c>
      <c r="AJ79" s="35">
        <v>636.314540374687</v>
      </c>
      <c r="AK79" s="36">
        <f t="shared" si="162"/>
        <v>0.00636186557139107</v>
      </c>
      <c r="AL79" s="35">
        <v>734.988215125497</v>
      </c>
      <c r="AM79" s="36">
        <f t="shared" si="163"/>
        <v>0.102729519117449</v>
      </c>
      <c r="AN79" s="35">
        <v>640.425661484699</v>
      </c>
      <c r="AO79" s="36">
        <f t="shared" si="164"/>
        <v>-0.0123173425319475</v>
      </c>
      <c r="AP79" s="35">
        <v>661.673817439487</v>
      </c>
      <c r="AQ79" s="36">
        <f t="shared" si="165"/>
        <v>0.0335150189135018</v>
      </c>
      <c r="AR79" s="35">
        <v>662.760706886684</v>
      </c>
      <c r="AS79" s="36">
        <f t="shared" si="166"/>
        <v>0.0104722910555453</v>
      </c>
      <c r="AT79" s="35">
        <f t="shared" si="167"/>
        <v>7756.6569070181</v>
      </c>
      <c r="AU79" s="36">
        <f t="shared" si="168"/>
        <v>0.075818602527236</v>
      </c>
      <c r="AV79" s="36"/>
      <c r="AW79" s="35">
        <f t="shared" si="169"/>
        <v>6554.11243092124</v>
      </c>
      <c r="AX79" s="35">
        <v>650.506579882324</v>
      </c>
      <c r="AY79" s="36">
        <f t="shared" si="170"/>
        <v>0.814819642283197</v>
      </c>
      <c r="AZ79" s="35">
        <v>281.603060749162</v>
      </c>
      <c r="BA79" s="36">
        <f t="shared" si="171"/>
        <v>-0.331326666185496</v>
      </c>
      <c r="BB79" s="35">
        <v>595.253059841141</v>
      </c>
      <c r="BC79" s="36">
        <f t="shared" si="172"/>
        <v>0.0801400208102756</v>
      </c>
      <c r="BD79" s="35">
        <v>636.411787638918</v>
      </c>
      <c r="BE79" s="36">
        <f t="shared" si="173"/>
        <v>0.171714625238925</v>
      </c>
      <c r="BF79" s="35">
        <v>650.2181709107</v>
      </c>
      <c r="BG79" s="36">
        <f t="shared" si="174"/>
        <v>0.158575993028434</v>
      </c>
      <c r="BH79" s="35">
        <v>579.516719682052</v>
      </c>
      <c r="BI79" s="36">
        <f t="shared" si="175"/>
        <v>0.0597630608032689</v>
      </c>
      <c r="BJ79" s="35">
        <v>573.164533346239</v>
      </c>
      <c r="BK79" s="36">
        <f t="shared" si="176"/>
        <v>0.11691552245927</v>
      </c>
      <c r="BL79" s="35">
        <v>632.291983772061</v>
      </c>
      <c r="BM79" s="36">
        <f t="shared" si="177"/>
        <v>0.0532968415984685</v>
      </c>
      <c r="BN79" s="35">
        <v>666.517221479418</v>
      </c>
      <c r="BO79" s="36">
        <f t="shared" si="178"/>
        <v>0.120736011513989</v>
      </c>
      <c r="BP79" s="35">
        <v>648.412378857036</v>
      </c>
      <c r="BQ79" s="36">
        <f t="shared" si="179"/>
        <v>0.106952258380589</v>
      </c>
      <c r="BR79" s="35">
        <v>640.216934762188</v>
      </c>
      <c r="BS79" s="36">
        <f t="shared" si="180"/>
        <v>0.104423024504213</v>
      </c>
      <c r="BT79" s="35">
        <v>655.892014806621</v>
      </c>
      <c r="BU79" s="36">
        <f t="shared" si="181"/>
        <v>0.163181228152277</v>
      </c>
      <c r="BV79" s="35">
        <f t="shared" si="182"/>
        <v>7210.00444572786</v>
      </c>
      <c r="BW79" s="36">
        <f t="shared" si="183"/>
        <v>0.123162824725769</v>
      </c>
      <c r="BX79" s="36"/>
      <c r="BY79" s="50">
        <v>358.441447693354</v>
      </c>
      <c r="BZ79" s="721">
        <f t="shared" si="184"/>
        <v>-0.327390354796325</v>
      </c>
      <c r="CA79" s="50">
        <v>421.136968544466</v>
      </c>
      <c r="CB79" s="721">
        <f t="shared" si="185"/>
        <v>0.142118335171284</v>
      </c>
      <c r="CC79" s="41">
        <v>551.088792538774</v>
      </c>
      <c r="CD79" s="721">
        <f t="shared" si="186"/>
        <v>-0.06887091680294</v>
      </c>
      <c r="CE79" s="41">
        <v>543.145723310526</v>
      </c>
      <c r="CF79" s="721">
        <f t="shared" si="187"/>
        <v>-0.048896132475115</v>
      </c>
      <c r="CG79" s="41">
        <v>561.221857541754</v>
      </c>
      <c r="CH79" s="721">
        <f t="shared" si="188"/>
        <v>-0.101792936998932</v>
      </c>
      <c r="CI79" s="702">
        <v>546.836119427295</v>
      </c>
      <c r="CJ79" s="721">
        <f t="shared" si="189"/>
        <v>-0.0484143925474477</v>
      </c>
      <c r="CK79" s="702">
        <v>513.167309273509</v>
      </c>
      <c r="CL79" s="721">
        <f t="shared" si="190"/>
        <v>-0.0645807978266891</v>
      </c>
      <c r="CM79" s="41">
        <v>600.297996538662</v>
      </c>
      <c r="CN79" s="721">
        <f t="shared" si="191"/>
        <v>-0.0216142407246028</v>
      </c>
      <c r="CO79" s="41">
        <v>594.713843966723</v>
      </c>
      <c r="CP79" s="721">
        <f t="shared" si="192"/>
        <v>-0.102915245755749</v>
      </c>
      <c r="CQ79" s="41">
        <v>585.763635195639</v>
      </c>
      <c r="CR79" s="721">
        <f t="shared" si="193"/>
        <v>-0.0574496081998226</v>
      </c>
      <c r="CS79" s="41">
        <v>579.684523554358</v>
      </c>
      <c r="CT79" s="721">
        <f t="shared" si="194"/>
        <v>-0.0366472753078905</v>
      </c>
      <c r="CU79" s="41">
        <v>563.877750888837</v>
      </c>
      <c r="CV79" s="721">
        <f t="shared" si="195"/>
        <v>-0.0629158695124594</v>
      </c>
      <c r="CW79" s="41">
        <f t="shared" si="196"/>
        <v>6419.3759684739</v>
      </c>
      <c r="CX79" s="721">
        <f t="shared" si="197"/>
        <v>-0.07200604402398</v>
      </c>
      <c r="CY79" s="721"/>
      <c r="CZ79" s="721">
        <f t="shared" si="198"/>
        <v>-0.0272678880032904</v>
      </c>
      <c r="DA79" s="721">
        <f t="shared" si="199"/>
        <v>-0.010378096686133</v>
      </c>
      <c r="DB79" s="721"/>
      <c r="DC79" s="721"/>
      <c r="DD79" s="721"/>
      <c r="DE79" s="721"/>
      <c r="DF79" s="721"/>
      <c r="DG79" s="721"/>
      <c r="DH79" s="721"/>
      <c r="DI79" s="721"/>
      <c r="DJ79" s="721"/>
      <c r="DK79" s="721"/>
      <c r="DL79" s="206"/>
      <c r="DM79" s="742">
        <v>532.911548695995</v>
      </c>
      <c r="DN79" s="742">
        <v>368.733217544667</v>
      </c>
      <c r="DO79" s="731">
        <v>591.850047951025</v>
      </c>
      <c r="DP79" s="731">
        <v>571.068777928521</v>
      </c>
      <c r="DQ79" s="731">
        <v>624.824587402612</v>
      </c>
      <c r="DR79" s="731">
        <v>574.657829148137</v>
      </c>
      <c r="DS79" s="731">
        <v>548.596081929085</v>
      </c>
      <c r="DT79" s="731">
        <v>613.559621905422</v>
      </c>
      <c r="DU79" s="731">
        <v>662.940531709002</v>
      </c>
      <c r="DV79" s="731">
        <v>621.46665079295</v>
      </c>
      <c r="DW79" s="731">
        <v>605.130630976859</v>
      </c>
      <c r="DX79" s="731">
        <v>601.736527749612</v>
      </c>
      <c r="DY79" s="732">
        <v>-0.0982685503124955</v>
      </c>
      <c r="DZ79" s="731">
        <f t="shared" si="200"/>
        <v>6917.47605373389</v>
      </c>
      <c r="EA79" s="733">
        <f t="shared" si="201"/>
        <v>-0.151634037685381</v>
      </c>
      <c r="EB79" s="733"/>
      <c r="EC79" s="737">
        <v>811.5463847977</v>
      </c>
      <c r="ED79" s="737">
        <v>298.018017292605</v>
      </c>
      <c r="EE79" s="737">
        <v>593.195760738167</v>
      </c>
      <c r="EF79" s="737">
        <v>741.317515085616</v>
      </c>
      <c r="EG79" s="737">
        <v>749.220157215195</v>
      </c>
      <c r="EH79" s="737">
        <v>807.050288963057</v>
      </c>
      <c r="EI79" s="737">
        <v>698.75571039741</v>
      </c>
      <c r="EJ79" s="737">
        <v>710.327873392525</v>
      </c>
      <c r="EK79" s="737">
        <v>718.627644385534</v>
      </c>
      <c r="EL79" s="737">
        <v>651.852696037961</v>
      </c>
      <c r="EM79" s="737">
        <v>706.657730079606</v>
      </c>
      <c r="EN79" s="737">
        <v>667.31234444373</v>
      </c>
      <c r="EO79" s="724">
        <f t="shared" si="202"/>
        <v>8153.88212282911</v>
      </c>
      <c r="EP79" s="36"/>
      <c r="EQ79" s="740">
        <f>SUM(EC79:EN79)</f>
        <v>8153.88212282911</v>
      </c>
    </row>
    <row r="80" ht="27" customHeight="1" spans="1:147">
      <c r="A80" s="45"/>
      <c r="B80" s="707" t="s">
        <v>91</v>
      </c>
      <c r="C80" s="35">
        <f>C81+C82</f>
        <v>124170.061254792</v>
      </c>
      <c r="D80" s="36">
        <f t="shared" si="146"/>
        <v>0.170365076462863</v>
      </c>
      <c r="E80" s="35">
        <f>E81+E82</f>
        <v>82788.2123291455</v>
      </c>
      <c r="F80" s="36">
        <f t="shared" si="147"/>
        <v>-0.150158179548113</v>
      </c>
      <c r="G80" s="35">
        <f>G81+G82</f>
        <v>126512.558308522</v>
      </c>
      <c r="H80" s="36">
        <f t="shared" si="148"/>
        <v>-0.0311657142456605</v>
      </c>
      <c r="I80" s="35">
        <f>I81+I82</f>
        <v>127784.446253103</v>
      </c>
      <c r="J80" s="36">
        <f t="shared" si="149"/>
        <v>-0.00925245237098959</v>
      </c>
      <c r="K80" s="35">
        <f>K81+K82</f>
        <v>130453.900982835</v>
      </c>
      <c r="L80" s="36">
        <f t="shared" si="150"/>
        <v>-0.00155545321762385</v>
      </c>
      <c r="M80" s="35">
        <f>M81+M82</f>
        <v>130933.581296026</v>
      </c>
      <c r="N80" s="36">
        <f t="shared" si="151"/>
        <v>0.0517717831024807</v>
      </c>
      <c r="O80" s="35">
        <f>O81+O82</f>
        <v>122906.96193118</v>
      </c>
      <c r="P80" s="36">
        <f t="shared" si="152"/>
        <v>0.0431974722501296</v>
      </c>
      <c r="Q80" s="127"/>
      <c r="R80" s="127"/>
      <c r="S80" s="35">
        <f t="shared" si="153"/>
        <v>845549.722355603</v>
      </c>
      <c r="T80" s="36">
        <f t="shared" si="154"/>
        <v>-0.115771327565603</v>
      </c>
      <c r="U80" s="36"/>
      <c r="V80" s="35">
        <f>V81+V82</f>
        <v>106095.152488713</v>
      </c>
      <c r="W80" s="36">
        <f t="shared" si="155"/>
        <v>-0.0802584514736291</v>
      </c>
      <c r="X80" s="35">
        <f>X81+X82</f>
        <v>97416.0253553119</v>
      </c>
      <c r="Y80" s="36">
        <f t="shared" si="156"/>
        <v>0.509624603174785</v>
      </c>
      <c r="Z80" s="35">
        <f>Z81+Z82</f>
        <v>130582.247313862</v>
      </c>
      <c r="AA80" s="36">
        <f t="shared" si="157"/>
        <v>0.132066592384722</v>
      </c>
      <c r="AB80" s="35">
        <f>AB81+AB82</f>
        <v>128977.8072718</v>
      </c>
      <c r="AC80" s="36">
        <f t="shared" si="158"/>
        <v>0.106096268269563</v>
      </c>
      <c r="AD80" s="35">
        <f>AD81+AD82</f>
        <v>130657.132039271</v>
      </c>
      <c r="AE80" s="36">
        <f t="shared" si="159"/>
        <v>0.0947043635766196</v>
      </c>
      <c r="AF80" s="35">
        <f>AF81+AF82</f>
        <v>124488.585261151</v>
      </c>
      <c r="AG80" s="36">
        <f t="shared" si="160"/>
        <v>0.111559919282467</v>
      </c>
      <c r="AH80" s="35">
        <f>AH81+AH82</f>
        <v>117817.541932953</v>
      </c>
      <c r="AI80" s="36">
        <f t="shared" si="161"/>
        <v>0.0485320976759727</v>
      </c>
      <c r="AJ80" s="35">
        <f>AJ81+AJ82</f>
        <v>120222.355366898</v>
      </c>
      <c r="AK80" s="36">
        <f t="shared" si="162"/>
        <v>0.00607400457813223</v>
      </c>
      <c r="AL80" s="35">
        <f>AL81+AL82</f>
        <v>131789.896860512</v>
      </c>
      <c r="AM80" s="36">
        <f t="shared" si="163"/>
        <v>0.072992476529105</v>
      </c>
      <c r="AN80" s="35">
        <f>AN81+AN82</f>
        <v>113176.406194556</v>
      </c>
      <c r="AO80" s="36">
        <f t="shared" si="164"/>
        <v>-0.0423310903006126</v>
      </c>
      <c r="AP80" s="35">
        <f>AP81+AP82</f>
        <v>118099.875552299</v>
      </c>
      <c r="AQ80" s="36">
        <f t="shared" si="165"/>
        <v>-0.0169504066234414</v>
      </c>
      <c r="AR80" s="35">
        <f>AR81+AR82</f>
        <v>121990.532959784</v>
      </c>
      <c r="AS80" s="36">
        <f t="shared" si="166"/>
        <v>-0.0552933329984195</v>
      </c>
      <c r="AT80" s="35">
        <f t="shared" si="167"/>
        <v>1441313.55859711</v>
      </c>
      <c r="AU80" s="36">
        <f t="shared" si="168"/>
        <v>0.0556616968865196</v>
      </c>
      <c r="AV80" s="36"/>
      <c r="AW80" s="35">
        <f t="shared" si="169"/>
        <v>1236187.06691952</v>
      </c>
      <c r="AX80" s="35">
        <f>AX81+AX82</f>
        <v>115353.223586236</v>
      </c>
      <c r="AY80" s="36">
        <f t="shared" si="170"/>
        <v>0.472251940340653</v>
      </c>
      <c r="AZ80" s="35">
        <f>AZ81+AZ82</f>
        <v>64529.9666887007</v>
      </c>
      <c r="BA80" s="36">
        <f t="shared" si="171"/>
        <v>-0.295163019410126</v>
      </c>
      <c r="BB80" s="35">
        <f>BB81+BB82</f>
        <v>115348.556518029</v>
      </c>
      <c r="BC80" s="36">
        <f t="shared" si="172"/>
        <v>0.0276202965568044</v>
      </c>
      <c r="BD80" s="35">
        <f>BD81+BD82</f>
        <v>116606.312643636</v>
      </c>
      <c r="BE80" s="36">
        <f t="shared" si="173"/>
        <v>0.0682537415233244</v>
      </c>
      <c r="BF80" s="35">
        <f>BF81+BF82</f>
        <v>119353.805818758</v>
      </c>
      <c r="BG80" s="36">
        <f t="shared" si="174"/>
        <v>0.072252882879233</v>
      </c>
      <c r="BH80" s="35">
        <f>BH81+BH82</f>
        <v>111994.489097368</v>
      </c>
      <c r="BI80" s="36">
        <f t="shared" si="175"/>
        <v>0.00167896489476882</v>
      </c>
      <c r="BJ80" s="35">
        <f>BJ81+BJ82</f>
        <v>112364.268289059</v>
      </c>
      <c r="BK80" s="36">
        <f t="shared" si="176"/>
        <v>0.0511267845018217</v>
      </c>
      <c r="BL80" s="35">
        <f>BL81+BL82</f>
        <v>119496.532879119</v>
      </c>
      <c r="BM80" s="36">
        <f t="shared" si="177"/>
        <v>0.0157075791524408</v>
      </c>
      <c r="BN80" s="35">
        <f>BN81+BN82</f>
        <v>122824.623418445</v>
      </c>
      <c r="BO80" s="36">
        <f t="shared" si="178"/>
        <v>0.0622620758393628</v>
      </c>
      <c r="BP80" s="35">
        <f>BP81+BP82</f>
        <v>118179.054418799</v>
      </c>
      <c r="BQ80" s="36">
        <f t="shared" si="179"/>
        <v>0.0763168670286714</v>
      </c>
      <c r="BR80" s="35">
        <f>BR81+BR82</f>
        <v>120136.233561373</v>
      </c>
      <c r="BS80" s="36">
        <f t="shared" si="180"/>
        <v>0.0551035294424238</v>
      </c>
      <c r="BT80" s="35">
        <f>BT81+BT82</f>
        <v>129130.593887912</v>
      </c>
      <c r="BU80" s="36">
        <f t="shared" si="181"/>
        <v>0.122602883316676</v>
      </c>
      <c r="BV80" s="35">
        <f t="shared" si="182"/>
        <v>1365317.66080744</v>
      </c>
      <c r="BW80" s="36">
        <f t="shared" si="183"/>
        <v>0.0556940166731659</v>
      </c>
      <c r="BX80" s="36"/>
      <c r="BY80" s="41">
        <f>BY81+BY82</f>
        <v>78351.5514060353</v>
      </c>
      <c r="BZ80" s="721">
        <f t="shared" si="184"/>
        <v>-0.192950031551245</v>
      </c>
      <c r="CA80" s="41">
        <f>CA81+CA82</f>
        <v>91553.0377459707</v>
      </c>
      <c r="CB80" s="721">
        <f t="shared" si="185"/>
        <v>0.343277378603611</v>
      </c>
      <c r="CC80" s="41">
        <f>SUM(CC81:CC82)</f>
        <v>112248.22719493</v>
      </c>
      <c r="CD80" s="721">
        <f t="shared" si="186"/>
        <v>0.0650092397998994</v>
      </c>
      <c r="CE80" s="41">
        <v>109156.006771721</v>
      </c>
      <c r="CF80" s="721">
        <f t="shared" si="187"/>
        <v>0.05948859121677</v>
      </c>
      <c r="CG80" s="41">
        <v>111311.24730415</v>
      </c>
      <c r="CH80" s="721">
        <f t="shared" si="188"/>
        <v>0.0455147845360635</v>
      </c>
      <c r="CI80" s="41">
        <f>CI81+CI82</f>
        <v>111806.769456453</v>
      </c>
      <c r="CJ80" s="721">
        <f t="shared" si="189"/>
        <v>0.119221932747099</v>
      </c>
      <c r="CK80" s="41">
        <f>CK81+CK82</f>
        <v>106898.872662934</v>
      </c>
      <c r="CL80" s="721">
        <f t="shared" si="190"/>
        <v>0.104509608936807</v>
      </c>
      <c r="CM80" s="41">
        <v>117648.55882914</v>
      </c>
      <c r="CN80" s="721">
        <f t="shared" si="191"/>
        <v>0.118658022869415</v>
      </c>
      <c r="CO80" s="41">
        <f>SUM(CO81:CO82)</f>
        <v>115625.537437542</v>
      </c>
      <c r="CP80" s="721">
        <f t="shared" si="192"/>
        <v>0.0108188339217574</v>
      </c>
      <c r="CQ80" s="41">
        <f>SUM(CQ81:CQ82)</f>
        <v>109799.500536538</v>
      </c>
      <c r="CR80" s="721">
        <f t="shared" si="193"/>
        <v>-0.0242650010497072</v>
      </c>
      <c r="CS80" s="41">
        <f>CS81+CS82</f>
        <v>113862.033638405</v>
      </c>
      <c r="CT80" s="721">
        <f t="shared" si="194"/>
        <v>0.0139837733308912</v>
      </c>
      <c r="CU80" s="41">
        <f>CU81+CU82</f>
        <v>115027.848054694</v>
      </c>
      <c r="CV80" s="721">
        <f t="shared" si="195"/>
        <v>0.0243657844636491</v>
      </c>
      <c r="CW80" s="41">
        <f t="shared" si="196"/>
        <v>1293289.19103851</v>
      </c>
      <c r="CX80" s="721">
        <f t="shared" si="197"/>
        <v>0.0465980531591961</v>
      </c>
      <c r="CY80" s="721"/>
      <c r="CZ80" s="721">
        <f t="shared" si="198"/>
        <v>0.0102388336044605</v>
      </c>
      <c r="DA80" s="721">
        <f t="shared" si="199"/>
        <v>0.0369995590327399</v>
      </c>
      <c r="DB80" s="721"/>
      <c r="DC80" s="721"/>
      <c r="DD80" s="721"/>
      <c r="DE80" s="721"/>
      <c r="DF80" s="721"/>
      <c r="DG80" s="721"/>
      <c r="DH80" s="721"/>
      <c r="DI80" s="721"/>
      <c r="DJ80" s="721"/>
      <c r="DK80" s="721"/>
      <c r="DM80" s="41">
        <v>97083.8912944092</v>
      </c>
      <c r="DN80" s="41">
        <v>68156.4650788236</v>
      </c>
      <c r="DO80" s="41">
        <v>105396.482021151</v>
      </c>
      <c r="DP80" s="41">
        <v>103027.071434871</v>
      </c>
      <c r="DQ80" s="41">
        <v>106465.493315375</v>
      </c>
      <c r="DR80" s="41">
        <v>99896.8713756583</v>
      </c>
      <c r="DS80" s="41">
        <v>96784.0132833553</v>
      </c>
      <c r="DT80" s="41">
        <v>105169.369390804</v>
      </c>
      <c r="DU80" s="41">
        <v>114387.992741429</v>
      </c>
      <c r="DV80" s="41">
        <v>112530.04212687</v>
      </c>
      <c r="DW80" s="41">
        <v>114518.158569027</v>
      </c>
      <c r="DX80" s="41">
        <v>112291.770966288</v>
      </c>
      <c r="DY80" s="721">
        <v>-0.00678053945594415</v>
      </c>
      <c r="DZ80" s="41">
        <f t="shared" si="200"/>
        <v>1235707.62159806</v>
      </c>
      <c r="EA80" s="36">
        <f t="shared" si="201"/>
        <v>-0.0931525040265265</v>
      </c>
      <c r="EB80" s="36"/>
      <c r="EC80" s="737">
        <f t="shared" ref="EC80:EN80" si="204">EC81+EC82</f>
        <v>141668.986810646</v>
      </c>
      <c r="ED80" s="737">
        <f t="shared" si="204"/>
        <v>65243.8511867094</v>
      </c>
      <c r="EE80" s="737">
        <f t="shared" si="204"/>
        <v>105869.901365249</v>
      </c>
      <c r="EF80" s="737">
        <f t="shared" si="204"/>
        <v>124646.701831925</v>
      </c>
      <c r="EG80" s="737">
        <f t="shared" si="204"/>
        <v>121310.811002033</v>
      </c>
      <c r="EH80" s="737">
        <f t="shared" si="204"/>
        <v>127070.316288258</v>
      </c>
      <c r="EI80" s="737">
        <f t="shared" si="204"/>
        <v>105689.280909429</v>
      </c>
      <c r="EJ80" s="737">
        <f t="shared" si="204"/>
        <v>117105.447092142</v>
      </c>
      <c r="EK80" s="737">
        <f t="shared" si="204"/>
        <v>116716.389755931</v>
      </c>
      <c r="EL80" s="737">
        <f t="shared" si="204"/>
        <v>104732.388154116</v>
      </c>
      <c r="EM80" s="50">
        <f t="shared" si="204"/>
        <v>119528.605151902</v>
      </c>
      <c r="EN80" s="50">
        <f t="shared" si="204"/>
        <v>113058.367689229</v>
      </c>
      <c r="EO80" s="724">
        <f t="shared" si="202"/>
        <v>1362641.04723757</v>
      </c>
      <c r="EP80" s="36"/>
      <c r="EQ80" s="738"/>
    </row>
    <row r="81" ht="27" customHeight="1" spans="1:147">
      <c r="A81" s="45"/>
      <c r="B81" s="707" t="s">
        <v>92</v>
      </c>
      <c r="C81" s="35">
        <v>12170.7095</v>
      </c>
      <c r="D81" s="36">
        <f t="shared" si="146"/>
        <v>-0.349658940044663</v>
      </c>
      <c r="E81" s="35">
        <v>9779.3776</v>
      </c>
      <c r="F81" s="36">
        <f t="shared" si="147"/>
        <v>-0.438480040295124</v>
      </c>
      <c r="G81" s="35">
        <v>10332.3705</v>
      </c>
      <c r="H81" s="36">
        <f t="shared" si="148"/>
        <v>-0.455770849903912</v>
      </c>
      <c r="I81" s="35">
        <v>11079.5127</v>
      </c>
      <c r="J81" s="36">
        <f t="shared" si="149"/>
        <v>-0.478243371603997</v>
      </c>
      <c r="K81" s="35">
        <v>12610.8503</v>
      </c>
      <c r="L81" s="36">
        <f t="shared" si="150"/>
        <v>-0.434336645110081</v>
      </c>
      <c r="M81" s="35">
        <v>14081.1838</v>
      </c>
      <c r="N81" s="36">
        <f t="shared" si="151"/>
        <v>-0.398570578830911</v>
      </c>
      <c r="O81" s="35">
        <v>8236.1416</v>
      </c>
      <c r="P81" s="36">
        <f t="shared" si="152"/>
        <v>-0.618658270711941</v>
      </c>
      <c r="Q81" s="127"/>
      <c r="R81" s="127"/>
      <c r="S81" s="35">
        <f t="shared" si="153"/>
        <v>78290.146</v>
      </c>
      <c r="T81" s="36">
        <f t="shared" si="154"/>
        <v>-0.51777625100361</v>
      </c>
      <c r="U81" s="36"/>
      <c r="V81" s="35">
        <v>18714.3489</v>
      </c>
      <c r="W81" s="36">
        <f t="shared" si="155"/>
        <v>0.164926893796783</v>
      </c>
      <c r="X81" s="35">
        <v>17415.9038</v>
      </c>
      <c r="Y81" s="36">
        <f t="shared" si="156"/>
        <v>0.171142226379492</v>
      </c>
      <c r="Z81" s="35">
        <v>18985.3309</v>
      </c>
      <c r="AA81" s="36">
        <f t="shared" si="157"/>
        <v>-0.0618695419831929</v>
      </c>
      <c r="AB81" s="35">
        <v>21235.0205</v>
      </c>
      <c r="AC81" s="36">
        <f t="shared" si="158"/>
        <v>-0.00174680742272249</v>
      </c>
      <c r="AD81" s="35">
        <v>22293.9142</v>
      </c>
      <c r="AE81" s="36">
        <f t="shared" si="159"/>
        <v>0.0391840359313131</v>
      </c>
      <c r="AF81" s="35">
        <v>23412.8616</v>
      </c>
      <c r="AG81" s="36">
        <f t="shared" si="160"/>
        <v>0.0858912547479209</v>
      </c>
      <c r="AH81" s="35">
        <v>21597.7979</v>
      </c>
      <c r="AI81" s="36">
        <f t="shared" si="161"/>
        <v>0.0327236700146647</v>
      </c>
      <c r="AJ81" s="35">
        <v>18697.1455</v>
      </c>
      <c r="AK81" s="36">
        <f t="shared" si="162"/>
        <v>-0.103173405586318</v>
      </c>
      <c r="AL81" s="35">
        <v>18586.87</v>
      </c>
      <c r="AM81" s="36">
        <f t="shared" si="163"/>
        <v>-0.0773248165653357</v>
      </c>
      <c r="AN81" s="35">
        <v>17410.0318</v>
      </c>
      <c r="AO81" s="36">
        <f t="shared" si="164"/>
        <v>-0.0840514760867558</v>
      </c>
      <c r="AP81" s="35">
        <v>17731.8636</v>
      </c>
      <c r="AQ81" s="36">
        <f t="shared" si="165"/>
        <v>-0.0498275610235152</v>
      </c>
      <c r="AR81" s="35">
        <v>19781.5087</v>
      </c>
      <c r="AS81" s="36">
        <f t="shared" si="166"/>
        <v>-0.1456946399541</v>
      </c>
      <c r="AT81" s="35">
        <f t="shared" si="167"/>
        <v>235862.5974</v>
      </c>
      <c r="AU81" s="36">
        <f t="shared" si="168"/>
        <v>-0.0097715994199381</v>
      </c>
      <c r="AV81" s="36"/>
      <c r="AW81" s="35">
        <f t="shared" si="169"/>
        <v>215035.0159</v>
      </c>
      <c r="AX81" s="35">
        <v>16064.8269</v>
      </c>
      <c r="AY81" s="36">
        <f t="shared" si="170"/>
        <v>0.127738319771136</v>
      </c>
      <c r="AZ81" s="35">
        <v>14870.87</v>
      </c>
      <c r="BA81" s="36">
        <f t="shared" si="171"/>
        <v>-0.285263823656073</v>
      </c>
      <c r="BB81" s="35">
        <v>20237.4102</v>
      </c>
      <c r="BC81" s="36">
        <f t="shared" si="172"/>
        <v>-0.0851087783251749</v>
      </c>
      <c r="BD81" s="35">
        <v>21272.1789</v>
      </c>
      <c r="BE81" s="36">
        <f t="shared" si="173"/>
        <v>-0.0656647340469668</v>
      </c>
      <c r="BF81" s="35">
        <v>21453.2878</v>
      </c>
      <c r="BG81" s="36">
        <f t="shared" si="174"/>
        <v>-0.0747521926726784</v>
      </c>
      <c r="BH81" s="35">
        <v>21560.9634</v>
      </c>
      <c r="BI81" s="36">
        <f t="shared" si="175"/>
        <v>-0.072027228844409</v>
      </c>
      <c r="BJ81" s="35">
        <v>20913.4336</v>
      </c>
      <c r="BK81" s="36">
        <f t="shared" si="176"/>
        <v>-0.062476876489298</v>
      </c>
      <c r="BL81" s="35">
        <v>20848.1167</v>
      </c>
      <c r="BM81" s="36">
        <f t="shared" si="177"/>
        <v>0.0272608157940584</v>
      </c>
      <c r="BN81" s="35">
        <v>20144.5431</v>
      </c>
      <c r="BO81" s="36">
        <f t="shared" si="178"/>
        <v>-0.0110384117170959</v>
      </c>
      <c r="BP81" s="35">
        <v>19007.6531</v>
      </c>
      <c r="BQ81" s="36">
        <f t="shared" si="179"/>
        <v>0.026624608136506</v>
      </c>
      <c r="BR81" s="35">
        <v>18661.7322</v>
      </c>
      <c r="BS81" s="36">
        <f t="shared" si="180"/>
        <v>0.0549241995673211</v>
      </c>
      <c r="BT81" s="35">
        <v>23155.0797</v>
      </c>
      <c r="BU81" s="36">
        <f t="shared" si="181"/>
        <v>0.351263277713532</v>
      </c>
      <c r="BV81" s="35">
        <f t="shared" si="182"/>
        <v>238190.0956</v>
      </c>
      <c r="BW81" s="36">
        <f t="shared" si="183"/>
        <v>-0.0184671169636415</v>
      </c>
      <c r="BX81" s="36"/>
      <c r="BY81" s="50">
        <v>14245.1725</v>
      </c>
      <c r="BZ81" s="721">
        <f t="shared" si="184"/>
        <v>5.55943241175</v>
      </c>
      <c r="CA81" s="50">
        <v>20806.0967</v>
      </c>
      <c r="CB81" s="721">
        <f t="shared" si="185"/>
        <v>10.4675544839963</v>
      </c>
      <c r="CC81" s="41">
        <v>22120.0179</v>
      </c>
      <c r="CD81" s="721">
        <f t="shared" si="186"/>
        <v>9.56894006039771</v>
      </c>
      <c r="CE81" s="41">
        <v>22767.1797</v>
      </c>
      <c r="CF81" s="721">
        <f t="shared" si="187"/>
        <v>23.5641531271063</v>
      </c>
      <c r="CG81" s="41">
        <v>23186.5319</v>
      </c>
      <c r="CH81" s="721">
        <f t="shared" si="188"/>
        <v>13.7118678320073</v>
      </c>
      <c r="CI81" s="702">
        <v>23234.4785</v>
      </c>
      <c r="CJ81" s="721">
        <f t="shared" si="189"/>
        <v>8.64507066049772</v>
      </c>
      <c r="CK81" s="702">
        <v>22307.1123</v>
      </c>
      <c r="CL81" s="721">
        <f t="shared" si="190"/>
        <v>8.15152693567953</v>
      </c>
      <c r="CM81" s="41">
        <v>20294.8622</v>
      </c>
      <c r="CN81" s="721">
        <f t="shared" si="191"/>
        <v>10.177007272236</v>
      </c>
      <c r="CO81" s="702">
        <v>20369.3888</v>
      </c>
      <c r="CP81" s="721">
        <f t="shared" si="192"/>
        <v>3.5477180565073</v>
      </c>
      <c r="CQ81" s="702">
        <v>18514.7063</v>
      </c>
      <c r="CR81" s="721">
        <f t="shared" si="193"/>
        <v>4.43949217399929</v>
      </c>
      <c r="CS81" s="50">
        <v>17690.1167</v>
      </c>
      <c r="CT81" s="721">
        <f t="shared" si="194"/>
        <v>3.82260777264572</v>
      </c>
      <c r="CU81" s="50">
        <v>17135.8758</v>
      </c>
      <c r="CV81" s="721">
        <f t="shared" si="195"/>
        <v>3.67151286933973</v>
      </c>
      <c r="CW81" s="41">
        <f t="shared" si="196"/>
        <v>242671.5393</v>
      </c>
      <c r="CX81" s="721">
        <f t="shared" si="197"/>
        <v>6.98745456219794</v>
      </c>
      <c r="CY81" s="721"/>
      <c r="CZ81" s="721">
        <f t="shared" si="198"/>
        <v>-0.0313305394983627</v>
      </c>
      <c r="DA81" s="721">
        <f t="shared" si="199"/>
        <v>-0.0445370067793084</v>
      </c>
      <c r="DB81" s="721"/>
      <c r="DC81" s="721"/>
      <c r="DD81" s="721"/>
      <c r="DE81" s="721"/>
      <c r="DF81" s="721"/>
      <c r="DG81" s="721"/>
      <c r="DH81" s="721"/>
      <c r="DI81" s="721"/>
      <c r="DJ81" s="721"/>
      <c r="DK81" s="721"/>
      <c r="DM81" s="50">
        <v>2171.7081</v>
      </c>
      <c r="DN81" s="50">
        <v>1814.3447</v>
      </c>
      <c r="DO81" s="41">
        <v>2092.9268</v>
      </c>
      <c r="DP81" s="41">
        <v>926.8457</v>
      </c>
      <c r="DQ81" s="41">
        <v>1576.0427</v>
      </c>
      <c r="DR81" s="41">
        <v>2408.9485</v>
      </c>
      <c r="DS81" s="41">
        <v>2437.529</v>
      </c>
      <c r="DT81" s="41">
        <v>1815.7689</v>
      </c>
      <c r="DU81" s="41">
        <v>4479.0351</v>
      </c>
      <c r="DV81" s="41">
        <v>3403.7564</v>
      </c>
      <c r="DW81" s="41">
        <v>3586.5162</v>
      </c>
      <c r="DX81" s="41">
        <v>3668.1641</v>
      </c>
      <c r="DY81" s="721">
        <v>0.862782782583516</v>
      </c>
      <c r="DZ81" s="41">
        <f t="shared" si="200"/>
        <v>30381.5862</v>
      </c>
      <c r="EA81" s="36">
        <f t="shared" si="201"/>
        <v>0.199194681057155</v>
      </c>
      <c r="EB81" s="36"/>
      <c r="EC81" s="737">
        <v>2608.59952</v>
      </c>
      <c r="ED81" s="737">
        <v>2283.1968</v>
      </c>
      <c r="EE81" s="737">
        <v>2438.32519</v>
      </c>
      <c r="EF81" s="737">
        <v>2391.44098</v>
      </c>
      <c r="EG81" s="737">
        <v>2267.0686</v>
      </c>
      <c r="EH81" s="737">
        <v>1984.0451</v>
      </c>
      <c r="EI81" s="737">
        <v>1872.82</v>
      </c>
      <c r="EJ81" s="737">
        <v>1922.8336</v>
      </c>
      <c r="EK81" s="737">
        <v>1917.0253</v>
      </c>
      <c r="EL81" s="737">
        <v>1798.4572</v>
      </c>
      <c r="EM81" s="737">
        <v>1881.9934</v>
      </c>
      <c r="EN81" s="737">
        <v>1969.1851</v>
      </c>
      <c r="EO81" s="717">
        <f t="shared" si="202"/>
        <v>25334.99079</v>
      </c>
      <c r="EP81" s="36"/>
      <c r="EQ81" s="740">
        <f>SUM(EC81:EN81)</f>
        <v>25334.99079</v>
      </c>
    </row>
    <row r="82" ht="27" customHeight="1" spans="1:147">
      <c r="A82" s="29"/>
      <c r="B82" s="707" t="s">
        <v>93</v>
      </c>
      <c r="C82" s="35">
        <v>111999.351754792</v>
      </c>
      <c r="D82" s="36">
        <f t="shared" si="146"/>
        <v>0.28173863314366</v>
      </c>
      <c r="E82" s="35">
        <v>73008.8347291455</v>
      </c>
      <c r="F82" s="36">
        <f t="shared" si="147"/>
        <v>-0.0873909525416487</v>
      </c>
      <c r="G82" s="35">
        <v>116180.187808522</v>
      </c>
      <c r="H82" s="36">
        <f t="shared" si="148"/>
        <v>0.0410698748849183</v>
      </c>
      <c r="I82" s="35">
        <v>116704.933553103</v>
      </c>
      <c r="J82" s="36">
        <f t="shared" si="149"/>
        <v>0.0831809446351603</v>
      </c>
      <c r="K82" s="35">
        <v>117843.050682835</v>
      </c>
      <c r="L82" s="36">
        <f t="shared" si="150"/>
        <v>0.0874820168004322</v>
      </c>
      <c r="M82" s="35">
        <v>116852.397496026</v>
      </c>
      <c r="N82" s="36">
        <f t="shared" si="151"/>
        <v>0.156087666389262</v>
      </c>
      <c r="O82" s="35">
        <v>114670.82033118</v>
      </c>
      <c r="P82" s="36">
        <f t="shared" si="152"/>
        <v>0.191759773253067</v>
      </c>
      <c r="Q82" s="127"/>
      <c r="R82" s="127"/>
      <c r="S82" s="35">
        <f t="shared" si="153"/>
        <v>767259.576355604</v>
      </c>
      <c r="T82" s="36">
        <f t="shared" si="154"/>
        <v>-0.0335619039543595</v>
      </c>
      <c r="U82" s="36"/>
      <c r="V82" s="35">
        <v>87380.8035887133</v>
      </c>
      <c r="W82" s="36">
        <f t="shared" si="155"/>
        <v>-0.119929352219798</v>
      </c>
      <c r="X82" s="35">
        <v>80000.1215553119</v>
      </c>
      <c r="Y82" s="36">
        <f t="shared" si="156"/>
        <v>0.610986241993301</v>
      </c>
      <c r="Z82" s="35">
        <v>111596.916413862</v>
      </c>
      <c r="AA82" s="36">
        <f t="shared" si="157"/>
        <v>0.17333163077131</v>
      </c>
      <c r="AB82" s="35">
        <v>107742.7867718</v>
      </c>
      <c r="AC82" s="36">
        <f t="shared" si="158"/>
        <v>0.130159603291009</v>
      </c>
      <c r="AD82" s="35">
        <v>108363.217839271</v>
      </c>
      <c r="AE82" s="36">
        <f t="shared" si="159"/>
        <v>0.106870729923086</v>
      </c>
      <c r="AF82" s="35">
        <v>101075.723661151</v>
      </c>
      <c r="AG82" s="36">
        <f t="shared" si="160"/>
        <v>0.117679786138132</v>
      </c>
      <c r="AH82" s="35">
        <v>96219.7440329528</v>
      </c>
      <c r="AI82" s="36">
        <f t="shared" si="161"/>
        <v>0.0521472478639318</v>
      </c>
      <c r="AJ82" s="35">
        <v>101525.209866898</v>
      </c>
      <c r="AK82" s="36">
        <f t="shared" si="162"/>
        <v>0.029162086926517</v>
      </c>
      <c r="AL82" s="35">
        <v>113203.026860512</v>
      </c>
      <c r="AM82" s="36">
        <f t="shared" si="163"/>
        <v>0.102482842917846</v>
      </c>
      <c r="AN82" s="35">
        <v>95766.3743945562</v>
      </c>
      <c r="AO82" s="36">
        <f t="shared" si="164"/>
        <v>-0.0343347666662216</v>
      </c>
      <c r="AP82" s="35">
        <v>100368.011952299</v>
      </c>
      <c r="AQ82" s="36">
        <f t="shared" si="165"/>
        <v>-0.010904112799072</v>
      </c>
      <c r="AR82" s="35">
        <v>102209.024259784</v>
      </c>
      <c r="AS82" s="36">
        <f t="shared" si="166"/>
        <v>-0.0355411337891638</v>
      </c>
      <c r="AT82" s="35">
        <f t="shared" si="167"/>
        <v>1205450.96119711</v>
      </c>
      <c r="AU82" s="36">
        <f t="shared" si="168"/>
        <v>0.0694893802683825</v>
      </c>
      <c r="AV82" s="36"/>
      <c r="AW82" s="35">
        <f t="shared" si="169"/>
        <v>1021152.05101952</v>
      </c>
      <c r="AX82" s="35">
        <v>99288.3966862359</v>
      </c>
      <c r="AY82" s="36">
        <f t="shared" si="170"/>
        <v>0.54880681736476</v>
      </c>
      <c r="AZ82" s="35">
        <v>49659.0966887007</v>
      </c>
      <c r="BA82" s="36">
        <f t="shared" si="171"/>
        <v>-0.298074291912739</v>
      </c>
      <c r="BB82" s="35">
        <v>95111.1463180293</v>
      </c>
      <c r="BC82" s="36">
        <f t="shared" si="172"/>
        <v>0.0552872076576343</v>
      </c>
      <c r="BD82" s="35">
        <v>95334.1337436363</v>
      </c>
      <c r="BE82" s="36">
        <f t="shared" si="173"/>
        <v>0.103547032355102</v>
      </c>
      <c r="BF82" s="35">
        <v>97900.5180187581</v>
      </c>
      <c r="BG82" s="36">
        <f t="shared" si="174"/>
        <v>0.110931451747387</v>
      </c>
      <c r="BH82" s="35">
        <v>90433.5256973675</v>
      </c>
      <c r="BI82" s="36">
        <f t="shared" si="175"/>
        <v>0.0210137360207832</v>
      </c>
      <c r="BJ82" s="35">
        <v>91450.834689059</v>
      </c>
      <c r="BK82" s="36">
        <f t="shared" si="176"/>
        <v>0.0810844259145009</v>
      </c>
      <c r="BL82" s="35">
        <v>98648.4161791193</v>
      </c>
      <c r="BM82" s="36">
        <f t="shared" si="177"/>
        <v>0.01329913084771</v>
      </c>
      <c r="BN82" s="35">
        <v>102680.080318445</v>
      </c>
      <c r="BO82" s="36">
        <f t="shared" si="178"/>
        <v>0.0779365089507453</v>
      </c>
      <c r="BP82" s="35">
        <v>99171.4013187994</v>
      </c>
      <c r="BQ82" s="36">
        <f t="shared" si="179"/>
        <v>0.0863956275327264</v>
      </c>
      <c r="BR82" s="35">
        <v>101474.501361373</v>
      </c>
      <c r="BS82" s="36">
        <f t="shared" si="180"/>
        <v>0.0551365158538353</v>
      </c>
      <c r="BT82" s="35">
        <v>105975.514187912</v>
      </c>
      <c r="BU82" s="36">
        <f t="shared" si="181"/>
        <v>0.0825761474310309</v>
      </c>
      <c r="BV82" s="35">
        <f t="shared" si="182"/>
        <v>1127127.56520744</v>
      </c>
      <c r="BW82" s="36">
        <f t="shared" si="183"/>
        <v>0.072823746433651</v>
      </c>
      <c r="BX82" s="36"/>
      <c r="BY82" s="50">
        <v>64106.3789060353</v>
      </c>
      <c r="BZ82" s="721">
        <f t="shared" si="184"/>
        <v>-0.324571654044394</v>
      </c>
      <c r="CA82" s="50">
        <v>70746.9410459707</v>
      </c>
      <c r="CB82" s="721">
        <f t="shared" si="185"/>
        <v>0.0663955363801292</v>
      </c>
      <c r="CC82" s="41">
        <v>90128.2092949298</v>
      </c>
      <c r="CD82" s="721">
        <f t="shared" si="186"/>
        <v>-0.127540101577488</v>
      </c>
      <c r="CE82" s="41">
        <v>86388.8270717214</v>
      </c>
      <c r="CF82" s="721">
        <f t="shared" si="187"/>
        <v>-0.153882114853969</v>
      </c>
      <c r="CG82" s="41">
        <v>88124.7154041504</v>
      </c>
      <c r="CH82" s="721">
        <f t="shared" si="188"/>
        <v>-0.159832424642018</v>
      </c>
      <c r="CI82" s="50">
        <v>88572.2909564526</v>
      </c>
      <c r="CJ82" s="721">
        <f t="shared" si="189"/>
        <v>-0.0914537068409715</v>
      </c>
      <c r="CK82" s="702">
        <v>84591.7603629335</v>
      </c>
      <c r="CL82" s="721">
        <f t="shared" si="190"/>
        <v>-0.103392553464154</v>
      </c>
      <c r="CM82" s="41">
        <v>97353.6966291401</v>
      </c>
      <c r="CN82" s="721">
        <f t="shared" si="191"/>
        <v>-0.0580521997605468</v>
      </c>
      <c r="CO82" s="41">
        <v>95256.1486375417</v>
      </c>
      <c r="CP82" s="721">
        <f t="shared" si="192"/>
        <v>-0.133317696012468</v>
      </c>
      <c r="CQ82" s="41">
        <v>91284.7942365379</v>
      </c>
      <c r="CR82" s="721">
        <f t="shared" si="193"/>
        <v>-0.163493986544976</v>
      </c>
      <c r="CS82" s="41">
        <v>96171.9169384049</v>
      </c>
      <c r="CT82" s="721">
        <f t="shared" si="194"/>
        <v>-0.114631527041914</v>
      </c>
      <c r="CU82" s="41">
        <v>97891.972254694</v>
      </c>
      <c r="CV82" s="721">
        <f t="shared" si="195"/>
        <v>-0.098796522424488</v>
      </c>
      <c r="CW82" s="41">
        <f t="shared" si="196"/>
        <v>1050617.65173851</v>
      </c>
      <c r="CX82" s="721">
        <f t="shared" si="197"/>
        <v>-0.12835397155298</v>
      </c>
      <c r="CY82" s="721"/>
      <c r="CZ82" s="721">
        <f t="shared" si="198"/>
        <v>0.0178852140109751</v>
      </c>
      <c r="DA82" s="721">
        <f t="shared" si="199"/>
        <v>0.0535370950084353</v>
      </c>
      <c r="DB82" s="721"/>
      <c r="DC82" s="721"/>
      <c r="DD82" s="721"/>
      <c r="DE82" s="721"/>
      <c r="DF82" s="721"/>
      <c r="DG82" s="721"/>
      <c r="DH82" s="721"/>
      <c r="DI82" s="721"/>
      <c r="DJ82" s="721"/>
      <c r="DK82" s="721"/>
      <c r="DL82" s="21"/>
      <c r="DM82" s="745">
        <v>94912.1831944092</v>
      </c>
      <c r="DN82" s="745">
        <v>66342.1203788236</v>
      </c>
      <c r="DO82" s="727">
        <v>103303.555221151</v>
      </c>
      <c r="DP82" s="727">
        <v>102100.225734871</v>
      </c>
      <c r="DQ82" s="727">
        <v>104889.450615375</v>
      </c>
      <c r="DR82" s="727">
        <v>97487.9228756583</v>
      </c>
      <c r="DS82" s="727">
        <v>94346.4842833553</v>
      </c>
      <c r="DT82" s="727">
        <v>103353.600490804</v>
      </c>
      <c r="DU82" s="727">
        <v>109908.957641429</v>
      </c>
      <c r="DV82" s="727">
        <v>109126.28572687</v>
      </c>
      <c r="DW82" s="727">
        <v>110931.642369027</v>
      </c>
      <c r="DX82" s="727">
        <v>108623.606866288</v>
      </c>
      <c r="DY82" s="728">
        <v>-0.0221945617518703</v>
      </c>
      <c r="DZ82" s="727">
        <f t="shared" si="200"/>
        <v>1205326.03539806</v>
      </c>
      <c r="EA82" s="729">
        <f t="shared" si="201"/>
        <v>-0.0986909618880368</v>
      </c>
      <c r="EB82" s="741"/>
      <c r="EC82" s="737">
        <v>139060.387290646</v>
      </c>
      <c r="ED82" s="737">
        <v>62960.6543867094</v>
      </c>
      <c r="EE82" s="737">
        <v>103431.576175249</v>
      </c>
      <c r="EF82" s="737">
        <v>122255.260851925</v>
      </c>
      <c r="EG82" s="737">
        <v>119043.742402033</v>
      </c>
      <c r="EH82" s="737">
        <v>125086.271188258</v>
      </c>
      <c r="EI82" s="737">
        <v>103816.460909429</v>
      </c>
      <c r="EJ82" s="737">
        <v>115182.613492142</v>
      </c>
      <c r="EK82" s="737">
        <v>114799.364455931</v>
      </c>
      <c r="EL82" s="737">
        <v>102933.930954116</v>
      </c>
      <c r="EM82" s="737">
        <v>117646.611751902</v>
      </c>
      <c r="EN82" s="737">
        <v>111089.182589229</v>
      </c>
      <c r="EO82" s="717">
        <f t="shared" si="202"/>
        <v>1337306.05644757</v>
      </c>
      <c r="EP82" s="36"/>
      <c r="EQ82" s="740">
        <f>SUM(EC82:EN82)</f>
        <v>1337306.05644757</v>
      </c>
    </row>
    <row r="83" s="206" customFormat="1" ht="27" customHeight="1" spans="1:147">
      <c r="A83" s="707" t="s">
        <v>105</v>
      </c>
      <c r="B83" s="707" t="s">
        <v>88</v>
      </c>
      <c r="C83" s="35">
        <v>447.271460856833</v>
      </c>
      <c r="D83" s="36">
        <f t="shared" si="146"/>
        <v>0.192266772648893</v>
      </c>
      <c r="E83" s="35">
        <v>279.199131042654</v>
      </c>
      <c r="F83" s="36">
        <f t="shared" si="147"/>
        <v>-0.121288408984652</v>
      </c>
      <c r="G83" s="35">
        <v>397.799468004584</v>
      </c>
      <c r="H83" s="36">
        <f t="shared" si="148"/>
        <v>-0.0388592581176377</v>
      </c>
      <c r="I83" s="35">
        <v>412.348202821606</v>
      </c>
      <c r="J83" s="36">
        <f t="shared" si="149"/>
        <v>-0.0253827138387356</v>
      </c>
      <c r="K83" s="35">
        <v>413.153352047518</v>
      </c>
      <c r="L83" s="36">
        <f t="shared" si="150"/>
        <v>-0.00642630949710643</v>
      </c>
      <c r="M83" s="35">
        <v>413.044667550733</v>
      </c>
      <c r="N83" s="36">
        <f t="shared" si="151"/>
        <v>0.0380958220777323</v>
      </c>
      <c r="O83" s="35">
        <v>417.817084694399</v>
      </c>
      <c r="P83" s="36">
        <f t="shared" si="152"/>
        <v>0.00492827667226292</v>
      </c>
      <c r="Q83" s="127"/>
      <c r="R83" s="127"/>
      <c r="S83" s="35">
        <f t="shared" si="153"/>
        <v>2780.63336701833</v>
      </c>
      <c r="T83" s="36">
        <f t="shared" si="154"/>
        <v>-0.130973679430902</v>
      </c>
      <c r="U83" s="36"/>
      <c r="V83" s="35">
        <v>375.143777481207</v>
      </c>
      <c r="W83" s="36">
        <f t="shared" si="155"/>
        <v>-0.0753370915949045</v>
      </c>
      <c r="X83" s="35">
        <v>317.73693882886</v>
      </c>
      <c r="Y83" s="36">
        <f t="shared" si="156"/>
        <v>0.524947294424234</v>
      </c>
      <c r="Z83" s="35">
        <v>413.882640356611</v>
      </c>
      <c r="AA83" s="36">
        <f t="shared" si="157"/>
        <v>0.115112431667977</v>
      </c>
      <c r="AB83" s="35">
        <v>423.087306860446</v>
      </c>
      <c r="AC83" s="36">
        <f t="shared" si="158"/>
        <v>0.113949819109322</v>
      </c>
      <c r="AD83" s="35">
        <v>415.825575895032</v>
      </c>
      <c r="AE83" s="36">
        <f t="shared" si="159"/>
        <v>0.080503868470361</v>
      </c>
      <c r="AF83" s="35">
        <v>397.886841239791</v>
      </c>
      <c r="AG83" s="36">
        <f t="shared" si="160"/>
        <v>0.0774452602949025</v>
      </c>
      <c r="AH83" s="35">
        <v>415.76806464036</v>
      </c>
      <c r="AI83" s="36">
        <f t="shared" si="161"/>
        <v>0.0633920144978983</v>
      </c>
      <c r="AJ83" s="35">
        <v>440.380188178797</v>
      </c>
      <c r="AK83" s="36">
        <f t="shared" si="162"/>
        <v>0.0158065704769046</v>
      </c>
      <c r="AL83" s="35">
        <v>422.239641090138</v>
      </c>
      <c r="AM83" s="36">
        <f t="shared" si="163"/>
        <v>0.0609538027229768</v>
      </c>
      <c r="AN83" s="35">
        <v>386.283396258107</v>
      </c>
      <c r="AO83" s="36">
        <f t="shared" si="164"/>
        <v>-0.0188100372436689</v>
      </c>
      <c r="AP83" s="35">
        <v>423.680695536725</v>
      </c>
      <c r="AQ83" s="36">
        <f t="shared" si="165"/>
        <v>-0.00696866570899723</v>
      </c>
      <c r="AR83" s="35">
        <v>415.76479128042</v>
      </c>
      <c r="AS83" s="36">
        <f t="shared" si="166"/>
        <v>-0.0219977730982914</v>
      </c>
      <c r="AT83" s="35">
        <f t="shared" si="167"/>
        <v>4847.67985764649</v>
      </c>
      <c r="AU83" s="36">
        <f t="shared" si="168"/>
        <v>0.0568034022720365</v>
      </c>
      <c r="AV83" s="36"/>
      <c r="AW83" s="35">
        <f t="shared" si="169"/>
        <v>4161.99965337595</v>
      </c>
      <c r="AX83" s="35">
        <v>405.708690238558</v>
      </c>
      <c r="AY83" s="36">
        <f t="shared" si="170"/>
        <v>0.574439567908233</v>
      </c>
      <c r="AZ83" s="35">
        <v>208.35929214775</v>
      </c>
      <c r="BA83" s="36">
        <f t="shared" si="171"/>
        <v>-0.352268145033467</v>
      </c>
      <c r="BB83" s="35">
        <v>371.157767237451</v>
      </c>
      <c r="BC83" s="36">
        <f t="shared" si="172"/>
        <v>0.0164700252726109</v>
      </c>
      <c r="BD83" s="35">
        <v>379.80822798529</v>
      </c>
      <c r="BE83" s="36">
        <f t="shared" si="173"/>
        <v>0.0471690629226373</v>
      </c>
      <c r="BF83" s="35">
        <v>384.844134323836</v>
      </c>
      <c r="BG83" s="36">
        <f t="shared" si="174"/>
        <v>0.0564183518014589</v>
      </c>
      <c r="BH83" s="35">
        <v>369.287290874422</v>
      </c>
      <c r="BI83" s="36">
        <f t="shared" si="175"/>
        <v>-0.0328175908597399</v>
      </c>
      <c r="BJ83" s="35">
        <v>390.98287270539</v>
      </c>
      <c r="BK83" s="36">
        <f t="shared" si="176"/>
        <v>-0.00355478827000721</v>
      </c>
      <c r="BL83" s="35">
        <v>433.527603559451</v>
      </c>
      <c r="BM83" s="36">
        <f t="shared" si="177"/>
        <v>-0.029146159829109</v>
      </c>
      <c r="BN83" s="35">
        <v>397.981175058183</v>
      </c>
      <c r="BO83" s="36">
        <f t="shared" si="178"/>
        <v>0.00840602243142752</v>
      </c>
      <c r="BP83" s="35">
        <v>393.688695278711</v>
      </c>
      <c r="BQ83" s="36">
        <f t="shared" si="179"/>
        <v>0.00579074663350809</v>
      </c>
      <c r="BR83" s="35">
        <v>426.653903966909</v>
      </c>
      <c r="BS83" s="36">
        <f t="shared" si="180"/>
        <v>0.0170915240482734</v>
      </c>
      <c r="BT83" s="35">
        <v>425.116405509172</v>
      </c>
      <c r="BU83" s="36">
        <f t="shared" si="181"/>
        <v>0.0759090613375912</v>
      </c>
      <c r="BV83" s="35">
        <f t="shared" si="182"/>
        <v>4587.11605888512</v>
      </c>
      <c r="BW83" s="36">
        <f t="shared" si="183"/>
        <v>0.0209641058965013</v>
      </c>
      <c r="BX83" s="36"/>
      <c r="BY83" s="50">
        <v>257.684511052764</v>
      </c>
      <c r="BZ83" s="721">
        <f t="shared" si="184"/>
        <v>-0.116830153539887</v>
      </c>
      <c r="CA83" s="50">
        <v>321.675228028604</v>
      </c>
      <c r="CB83" s="721">
        <f t="shared" si="185"/>
        <v>0.457911113700449</v>
      </c>
      <c r="CC83" s="41">
        <v>365.143838981291</v>
      </c>
      <c r="CD83" s="721">
        <f t="shared" si="186"/>
        <v>0.193732636905972</v>
      </c>
      <c r="CE83" s="41">
        <v>362.70000846401</v>
      </c>
      <c r="CF83" s="721">
        <f t="shared" si="187"/>
        <v>0.320359324986487</v>
      </c>
      <c r="CG83" s="41">
        <v>364.291413214831</v>
      </c>
      <c r="CH83" s="721">
        <f t="shared" si="188"/>
        <v>0.182930678801762</v>
      </c>
      <c r="CI83" s="702">
        <v>381.817625490817</v>
      </c>
      <c r="CJ83" s="721">
        <f t="shared" si="189"/>
        <v>0.261217057047461</v>
      </c>
      <c r="CK83" s="702">
        <v>392.377692323474</v>
      </c>
      <c r="CL83" s="721">
        <f t="shared" si="190"/>
        <v>0.224319113703483</v>
      </c>
      <c r="CM83" s="41">
        <v>446.542605716161</v>
      </c>
      <c r="CN83" s="721">
        <f t="shared" si="191"/>
        <v>0.26740940390266</v>
      </c>
      <c r="CO83" s="41">
        <v>394.663623783788</v>
      </c>
      <c r="CP83" s="721">
        <f t="shared" si="192"/>
        <v>0.212004194742385</v>
      </c>
      <c r="CQ83" s="41">
        <v>391.422069248927</v>
      </c>
      <c r="CR83" s="721">
        <f t="shared" si="193"/>
        <v>0.177554267122856</v>
      </c>
      <c r="CS83" s="41">
        <v>419.484278335859</v>
      </c>
      <c r="CT83" s="721">
        <f t="shared" si="194"/>
        <v>0.218534059497212</v>
      </c>
      <c r="CU83" s="41">
        <v>395.122990209469</v>
      </c>
      <c r="CV83" s="721">
        <f t="shared" si="195"/>
        <v>0.147768453136479</v>
      </c>
      <c r="CW83" s="41">
        <f t="shared" si="196"/>
        <v>4492.92588485</v>
      </c>
      <c r="CX83" s="721">
        <f t="shared" si="197"/>
        <v>0.202454966030141</v>
      </c>
      <c r="CY83" s="721"/>
      <c r="CZ83" s="721">
        <f t="shared" si="198"/>
        <v>-0.0580743770017651</v>
      </c>
      <c r="DA83" s="721">
        <f t="shared" si="199"/>
        <v>0.0716929659607048</v>
      </c>
      <c r="DB83" s="721"/>
      <c r="DC83" s="721"/>
      <c r="DD83" s="721"/>
      <c r="DE83" s="721"/>
      <c r="DF83" s="721"/>
      <c r="DG83" s="721"/>
      <c r="DH83" s="721"/>
      <c r="DI83" s="721"/>
      <c r="DJ83" s="721"/>
      <c r="DK83" s="721"/>
      <c r="DL83" s="222"/>
      <c r="DM83" s="742">
        <v>291.772315467523</v>
      </c>
      <c r="DN83" s="742">
        <v>220.641179702741</v>
      </c>
      <c r="DO83" s="731">
        <v>305.884104775509</v>
      </c>
      <c r="DP83" s="731">
        <v>274.697956533705</v>
      </c>
      <c r="DQ83" s="731">
        <v>307.956687355371</v>
      </c>
      <c r="DR83" s="731">
        <v>302.737441867985</v>
      </c>
      <c r="DS83" s="731">
        <v>320.486454823496</v>
      </c>
      <c r="DT83" s="731">
        <v>352.327041555119</v>
      </c>
      <c r="DU83" s="731">
        <v>325.628925622386</v>
      </c>
      <c r="DV83" s="731">
        <v>332.402573857846</v>
      </c>
      <c r="DW83" s="731">
        <v>357.67292829428</v>
      </c>
      <c r="DX83" s="731">
        <v>344.25322383598</v>
      </c>
      <c r="DY83" s="732">
        <v>-0.0703143205097763</v>
      </c>
      <c r="DZ83" s="731">
        <f t="shared" si="200"/>
        <v>3736.46083369194</v>
      </c>
      <c r="EA83" s="733">
        <f t="shared" si="201"/>
        <v>-0.0812077026468362</v>
      </c>
      <c r="EB83" s="743"/>
      <c r="EC83" s="737">
        <v>378.701812060271</v>
      </c>
      <c r="ED83" s="737">
        <v>170.169652809235</v>
      </c>
      <c r="EE83" s="737">
        <v>282.669676216909</v>
      </c>
      <c r="EF83" s="737">
        <v>325.584828793427</v>
      </c>
      <c r="EG83" s="737">
        <v>342.57014779672</v>
      </c>
      <c r="EH83" s="737">
        <v>387.327247102585</v>
      </c>
      <c r="EI83" s="737">
        <v>356.28238025989</v>
      </c>
      <c r="EJ83" s="737">
        <v>369.213273357386</v>
      </c>
      <c r="EK83" s="737">
        <v>368.004380192785</v>
      </c>
      <c r="EL83" s="737">
        <v>342.84755188965</v>
      </c>
      <c r="EM83" s="737">
        <v>373.048065112232</v>
      </c>
      <c r="EN83" s="737">
        <v>370.289907041211</v>
      </c>
      <c r="EO83" s="724">
        <f t="shared" si="202"/>
        <v>4066.7089226323</v>
      </c>
      <c r="EP83" s="36"/>
      <c r="EQ83" s="740">
        <f>SUM(EC83:EN83)</f>
        <v>4066.7089226323</v>
      </c>
    </row>
    <row r="84" ht="27" customHeight="1" spans="1:147">
      <c r="A84" s="45"/>
      <c r="B84" s="707" t="s">
        <v>89</v>
      </c>
      <c r="C84" s="35">
        <v>6.916</v>
      </c>
      <c r="D84" s="36">
        <f t="shared" si="146"/>
        <v>0.602818141787759</v>
      </c>
      <c r="E84" s="35">
        <v>5.7754</v>
      </c>
      <c r="F84" s="36">
        <f t="shared" si="147"/>
        <v>0.132409168447678</v>
      </c>
      <c r="G84" s="35">
        <v>6.2099</v>
      </c>
      <c r="H84" s="36">
        <f t="shared" si="148"/>
        <v>0.663782016932805</v>
      </c>
      <c r="I84" s="35">
        <v>5.5736</v>
      </c>
      <c r="J84" s="36">
        <f t="shared" si="149"/>
        <v>0.42518154853227</v>
      </c>
      <c r="K84" s="35">
        <v>5.4815</v>
      </c>
      <c r="L84" s="36">
        <f t="shared" si="150"/>
        <v>0.388846660585791</v>
      </c>
      <c r="M84" s="35">
        <v>5.7398</v>
      </c>
      <c r="N84" s="36">
        <f t="shared" si="151"/>
        <v>0.411518788117254</v>
      </c>
      <c r="O84" s="35">
        <v>5.3575</v>
      </c>
      <c r="P84" s="36">
        <f t="shared" si="152"/>
        <v>0.330229671011794</v>
      </c>
      <c r="Q84" s="127"/>
      <c r="R84" s="127"/>
      <c r="S84" s="35">
        <f t="shared" si="153"/>
        <v>41.0537</v>
      </c>
      <c r="T84" s="36">
        <f t="shared" si="154"/>
        <v>0.228681822535077</v>
      </c>
      <c r="U84" s="36"/>
      <c r="V84" s="35">
        <v>4.3149</v>
      </c>
      <c r="W84" s="36">
        <f t="shared" si="155"/>
        <v>-0.306018399382398</v>
      </c>
      <c r="X84" s="35">
        <v>5.1001</v>
      </c>
      <c r="Y84" s="36">
        <f t="shared" si="156"/>
        <v>-0.242308092288036</v>
      </c>
      <c r="Z84" s="35">
        <v>3.7324</v>
      </c>
      <c r="AA84" s="36">
        <f t="shared" si="157"/>
        <v>-0.255901116427432</v>
      </c>
      <c r="AB84" s="35">
        <v>3.9108</v>
      </c>
      <c r="AC84" s="36">
        <f t="shared" si="158"/>
        <v>-0.240842473066097</v>
      </c>
      <c r="AD84" s="35">
        <v>3.9468</v>
      </c>
      <c r="AE84" s="36">
        <f t="shared" si="159"/>
        <v>-0.208645787384208</v>
      </c>
      <c r="AF84" s="35">
        <v>4.0664</v>
      </c>
      <c r="AG84" s="36">
        <f t="shared" si="160"/>
        <v>-0.147826815876608</v>
      </c>
      <c r="AH84" s="35">
        <v>4.0275</v>
      </c>
      <c r="AI84" s="36">
        <f t="shared" si="161"/>
        <v>-0.193499939925508</v>
      </c>
      <c r="AJ84" s="35">
        <v>4.3139</v>
      </c>
      <c r="AK84" s="36">
        <f t="shared" si="162"/>
        <v>-0.275279294414112</v>
      </c>
      <c r="AL84" s="35">
        <v>4.0518</v>
      </c>
      <c r="AM84" s="36">
        <f t="shared" si="163"/>
        <v>-0.263991571451926</v>
      </c>
      <c r="AN84" s="35">
        <v>4.0684</v>
      </c>
      <c r="AO84" s="36">
        <f t="shared" si="164"/>
        <v>-0.175602836879433</v>
      </c>
      <c r="AP84" s="35">
        <v>3.5724</v>
      </c>
      <c r="AQ84" s="36">
        <f t="shared" si="165"/>
        <v>-0.316391748631788</v>
      </c>
      <c r="AR84" s="35">
        <v>3.7447</v>
      </c>
      <c r="AS84" s="36">
        <f t="shared" si="166"/>
        <v>-0.266909418374738</v>
      </c>
      <c r="AT84" s="35">
        <f t="shared" si="167"/>
        <v>48.8501</v>
      </c>
      <c r="AU84" s="36">
        <f t="shared" si="168"/>
        <v>-0.24375616333595</v>
      </c>
      <c r="AV84" s="36"/>
      <c r="AW84" s="35">
        <f t="shared" si="169"/>
        <v>59.4876</v>
      </c>
      <c r="AX84" s="35">
        <v>6.2176</v>
      </c>
      <c r="AY84" s="36">
        <f t="shared" si="170"/>
        <v>0.121338912133891</v>
      </c>
      <c r="AZ84" s="35">
        <v>6.7311</v>
      </c>
      <c r="BA84" s="36">
        <f t="shared" si="171"/>
        <v>-0.104347131851024</v>
      </c>
      <c r="BB84" s="35">
        <v>5.016</v>
      </c>
      <c r="BC84" s="36">
        <f t="shared" si="172"/>
        <v>-0.0814532669205977</v>
      </c>
      <c r="BD84" s="35">
        <v>5.1515</v>
      </c>
      <c r="BE84" s="36">
        <f t="shared" si="173"/>
        <v>0.173408956311785</v>
      </c>
      <c r="BF84" s="35">
        <v>4.9874</v>
      </c>
      <c r="BG84" s="36">
        <f t="shared" si="174"/>
        <v>0.0934882701162025</v>
      </c>
      <c r="BH84" s="35">
        <v>4.7718</v>
      </c>
      <c r="BI84" s="36">
        <f t="shared" si="175"/>
        <v>0.171080079515056</v>
      </c>
      <c r="BJ84" s="35">
        <v>4.9938</v>
      </c>
      <c r="BK84" s="36">
        <f t="shared" si="176"/>
        <v>0.189056621743893</v>
      </c>
      <c r="BL84" s="35">
        <v>5.9525</v>
      </c>
      <c r="BM84" s="36">
        <f t="shared" si="177"/>
        <v>0.096043013128579</v>
      </c>
      <c r="BN84" s="35">
        <v>5.5051</v>
      </c>
      <c r="BO84" s="36">
        <f t="shared" si="178"/>
        <v>0.191322224626704</v>
      </c>
      <c r="BP84" s="35">
        <v>4.935</v>
      </c>
      <c r="BQ84" s="36">
        <f t="shared" si="179"/>
        <v>-0.0493893747351389</v>
      </c>
      <c r="BR84" s="35">
        <v>5.2258</v>
      </c>
      <c r="BS84" s="36">
        <f t="shared" si="180"/>
        <v>-0.0520434632757089</v>
      </c>
      <c r="BT84" s="35">
        <v>5.1081</v>
      </c>
      <c r="BU84" s="36">
        <f t="shared" si="181"/>
        <v>-0.0335086657080147</v>
      </c>
      <c r="BV84" s="35">
        <f t="shared" si="182"/>
        <v>64.5957</v>
      </c>
      <c r="BW84" s="36">
        <f t="shared" si="183"/>
        <v>0.0454442462751545</v>
      </c>
      <c r="BX84" s="36"/>
      <c r="BY84" s="50">
        <v>5.5448</v>
      </c>
      <c r="BZ84" s="721">
        <f t="shared" si="184"/>
        <v>0.212640787315473</v>
      </c>
      <c r="CA84" s="50">
        <v>7.5153</v>
      </c>
      <c r="CB84" s="721">
        <f t="shared" si="185"/>
        <v>0.591314290554132</v>
      </c>
      <c r="CC84" s="41">
        <v>5.4608</v>
      </c>
      <c r="CD84" s="721">
        <f t="shared" si="186"/>
        <v>0.284259542343783</v>
      </c>
      <c r="CE84" s="41">
        <v>4.3902</v>
      </c>
      <c r="CF84" s="721">
        <f t="shared" si="187"/>
        <v>0.124193383181399</v>
      </c>
      <c r="CG84" s="41">
        <v>4.561</v>
      </c>
      <c r="CH84" s="721">
        <f t="shared" si="188"/>
        <v>0.160737008194635</v>
      </c>
      <c r="CI84" s="702">
        <v>4.0747</v>
      </c>
      <c r="CJ84" s="721">
        <f t="shared" si="189"/>
        <v>-0.00718775888114609</v>
      </c>
      <c r="CK84" s="702">
        <v>4.1998</v>
      </c>
      <c r="CL84" s="721">
        <f t="shared" si="190"/>
        <v>0.0600201918223118</v>
      </c>
      <c r="CM84" s="41">
        <v>5.4309</v>
      </c>
      <c r="CN84" s="721">
        <f t="shared" si="191"/>
        <v>0.225162425554954</v>
      </c>
      <c r="CO84" s="41">
        <v>4.621</v>
      </c>
      <c r="CP84" s="721">
        <f t="shared" si="192"/>
        <v>0.157681130373785</v>
      </c>
      <c r="CQ84" s="41">
        <v>5.1914</v>
      </c>
      <c r="CR84" s="721">
        <f t="shared" si="193"/>
        <v>0.287741231334028</v>
      </c>
      <c r="CS84" s="41">
        <v>5.5127</v>
      </c>
      <c r="CT84" s="721">
        <f t="shared" si="194"/>
        <v>0.230156427822284</v>
      </c>
      <c r="CU84" s="41">
        <v>5.2852</v>
      </c>
      <c r="CV84" s="721">
        <f t="shared" si="195"/>
        <v>0.17938990917814</v>
      </c>
      <c r="CW84" s="41">
        <f t="shared" si="196"/>
        <v>61.7878</v>
      </c>
      <c r="CX84" s="721">
        <f t="shared" si="197"/>
        <v>0.213428908091124</v>
      </c>
      <c r="CY84" s="721"/>
      <c r="CZ84" s="721">
        <f t="shared" si="198"/>
        <v>-0.0412683440056597</v>
      </c>
      <c r="DA84" s="721">
        <f t="shared" si="199"/>
        <v>0.0618908194321377</v>
      </c>
      <c r="DB84" s="721"/>
      <c r="DC84" s="721"/>
      <c r="DD84" s="721"/>
      <c r="DE84" s="721"/>
      <c r="DF84" s="721"/>
      <c r="DG84" s="721"/>
      <c r="DH84" s="721"/>
      <c r="DI84" s="721"/>
      <c r="DJ84" s="721"/>
      <c r="DK84" s="721"/>
      <c r="DL84" s="735" t="s">
        <v>105</v>
      </c>
      <c r="DM84" s="742">
        <v>4.5725</v>
      </c>
      <c r="DN84" s="742">
        <v>4.7227</v>
      </c>
      <c r="DO84" s="731">
        <v>4.2521</v>
      </c>
      <c r="DP84" s="731">
        <v>3.9052</v>
      </c>
      <c r="DQ84" s="731">
        <v>3.9294</v>
      </c>
      <c r="DR84" s="731">
        <v>4.1042</v>
      </c>
      <c r="DS84" s="731">
        <v>3.962</v>
      </c>
      <c r="DT84" s="731">
        <v>4.4328</v>
      </c>
      <c r="DU84" s="731">
        <v>3.9916</v>
      </c>
      <c r="DV84" s="731">
        <v>4.0314</v>
      </c>
      <c r="DW84" s="731">
        <v>4.5348</v>
      </c>
      <c r="DX84" s="731">
        <v>4.4813</v>
      </c>
      <c r="DY84" s="732">
        <v>0.516771027246573</v>
      </c>
      <c r="DZ84" s="731">
        <f t="shared" si="200"/>
        <v>50.92</v>
      </c>
      <c r="EA84" s="733">
        <f t="shared" si="201"/>
        <v>0.482456242503289</v>
      </c>
      <c r="EB84" s="733"/>
      <c r="EC84" s="737">
        <v>3.0881</v>
      </c>
      <c r="ED84" s="737">
        <v>2.9529</v>
      </c>
      <c r="EE84" s="737">
        <v>2.7341</v>
      </c>
      <c r="EF84" s="737">
        <v>2.6071</v>
      </c>
      <c r="EG84" s="737">
        <v>2.684</v>
      </c>
      <c r="EH84" s="737">
        <v>2.6986</v>
      </c>
      <c r="EI84" s="737">
        <v>2.6507</v>
      </c>
      <c r="EJ84" s="737">
        <v>3.0229</v>
      </c>
      <c r="EK84" s="737">
        <v>2.7838</v>
      </c>
      <c r="EL84" s="737">
        <v>2.9096</v>
      </c>
      <c r="EM84" s="737">
        <v>3.2621</v>
      </c>
      <c r="EN84" s="737">
        <v>2.9545</v>
      </c>
      <c r="EO84" s="717">
        <f t="shared" si="202"/>
        <v>34.3484</v>
      </c>
      <c r="EP84" s="36"/>
      <c r="EQ84" s="740">
        <f>SUM(EC84:EN84)</f>
        <v>34.3484</v>
      </c>
    </row>
    <row r="85" s="206" customFormat="1" ht="27" customHeight="1" spans="1:147">
      <c r="A85" s="45"/>
      <c r="B85" s="707" t="s">
        <v>90</v>
      </c>
      <c r="C85" s="35">
        <v>440.355460856833</v>
      </c>
      <c r="D85" s="36">
        <f t="shared" si="146"/>
        <v>0.187489668679186</v>
      </c>
      <c r="E85" s="35">
        <v>273.423731042654</v>
      </c>
      <c r="F85" s="36">
        <f t="shared" si="147"/>
        <v>-0.125427022397932</v>
      </c>
      <c r="G85" s="35">
        <v>391.589568004584</v>
      </c>
      <c r="H85" s="36">
        <f t="shared" si="148"/>
        <v>-0.045253349933159</v>
      </c>
      <c r="I85" s="35">
        <v>406.774602821606</v>
      </c>
      <c r="J85" s="36">
        <f t="shared" si="149"/>
        <v>-0.0295863528510412</v>
      </c>
      <c r="K85" s="35">
        <v>407.671852047518</v>
      </c>
      <c r="L85" s="36">
        <f t="shared" si="150"/>
        <v>-0.0102139855067117</v>
      </c>
      <c r="M85" s="35">
        <v>407.304867550733</v>
      </c>
      <c r="N85" s="36">
        <f t="shared" si="151"/>
        <v>0.0342400365722293</v>
      </c>
      <c r="O85" s="35">
        <v>412.459584694399</v>
      </c>
      <c r="P85" s="36">
        <f t="shared" si="152"/>
        <v>0.00174629394280612</v>
      </c>
      <c r="Q85" s="127"/>
      <c r="R85" s="127"/>
      <c r="S85" s="35">
        <f t="shared" si="153"/>
        <v>2739.57966701833</v>
      </c>
      <c r="T85" s="36">
        <f t="shared" si="154"/>
        <v>-0.134768993495263</v>
      </c>
      <c r="U85" s="36"/>
      <c r="V85" s="35">
        <v>370.828877481207</v>
      </c>
      <c r="W85" s="36">
        <f t="shared" si="155"/>
        <v>-0.0717468135277691</v>
      </c>
      <c r="X85" s="35">
        <v>312.63683882886</v>
      </c>
      <c r="Y85" s="36">
        <f t="shared" si="156"/>
        <v>0.550561136806526</v>
      </c>
      <c r="Z85" s="35">
        <v>410.150240356611</v>
      </c>
      <c r="AA85" s="36">
        <f t="shared" si="157"/>
        <v>0.120195173173509</v>
      </c>
      <c r="AB85" s="35">
        <v>419.176506860446</v>
      </c>
      <c r="AC85" s="36">
        <f t="shared" si="158"/>
        <v>0.118828184708067</v>
      </c>
      <c r="AD85" s="35">
        <v>411.878775895032</v>
      </c>
      <c r="AE85" s="36">
        <f t="shared" si="159"/>
        <v>0.0843003129277062</v>
      </c>
      <c r="AF85" s="35">
        <v>393.820441239791</v>
      </c>
      <c r="AG85" s="36">
        <f t="shared" si="160"/>
        <v>0.0803942523679049</v>
      </c>
      <c r="AH85" s="35">
        <v>411.74056464036</v>
      </c>
      <c r="AI85" s="36">
        <f t="shared" si="161"/>
        <v>0.0667155983315233</v>
      </c>
      <c r="AJ85" s="35">
        <v>436.066288178797</v>
      </c>
      <c r="AK85" s="36">
        <f t="shared" si="162"/>
        <v>0.0198589313284592</v>
      </c>
      <c r="AL85" s="35">
        <v>418.187841090138</v>
      </c>
      <c r="AM85" s="36">
        <f t="shared" si="163"/>
        <v>0.0655116774395568</v>
      </c>
      <c r="AN85" s="35">
        <v>382.214996258107</v>
      </c>
      <c r="AO85" s="36">
        <f t="shared" si="164"/>
        <v>-0.0168196446748016</v>
      </c>
      <c r="AP85" s="35">
        <v>420.108295536725</v>
      </c>
      <c r="AQ85" s="36">
        <f t="shared" si="165"/>
        <v>-0.00313175229122276</v>
      </c>
      <c r="AR85" s="35">
        <v>412.02009128042</v>
      </c>
      <c r="AS85" s="36">
        <f t="shared" si="166"/>
        <v>-0.0190191815827736</v>
      </c>
      <c r="AT85" s="35">
        <f t="shared" si="167"/>
        <v>4798.82975764649</v>
      </c>
      <c r="AU85" s="36">
        <f t="shared" si="168"/>
        <v>0.0610963305490759</v>
      </c>
      <c r="AV85" s="36"/>
      <c r="AW85" s="35">
        <f t="shared" si="169"/>
        <v>4102.51205337595</v>
      </c>
      <c r="AX85" s="35">
        <v>399.491090238558</v>
      </c>
      <c r="AY85" s="36">
        <f t="shared" si="170"/>
        <v>0.584403696548056</v>
      </c>
      <c r="AZ85" s="35">
        <v>201.62819214775</v>
      </c>
      <c r="BA85" s="36">
        <f t="shared" si="171"/>
        <v>-0.358198884838706</v>
      </c>
      <c r="BB85" s="35">
        <v>366.141767237451</v>
      </c>
      <c r="BC85" s="36">
        <f t="shared" si="172"/>
        <v>0.0179567217694019</v>
      </c>
      <c r="BD85" s="35">
        <v>374.65672798529</v>
      </c>
      <c r="BE85" s="36">
        <f t="shared" si="173"/>
        <v>0.0456223054327074</v>
      </c>
      <c r="BF85" s="35">
        <v>379.856734323836</v>
      </c>
      <c r="BG85" s="36">
        <f t="shared" si="174"/>
        <v>0.0559483445648661</v>
      </c>
      <c r="BH85" s="35">
        <v>364.515490874422</v>
      </c>
      <c r="BI85" s="36">
        <f t="shared" si="175"/>
        <v>-0.0350170280468073</v>
      </c>
      <c r="BJ85" s="35">
        <v>385.98907270539</v>
      </c>
      <c r="BK85" s="36">
        <f t="shared" si="176"/>
        <v>-0.00563870241291331</v>
      </c>
      <c r="BL85" s="35">
        <v>427.575103559451</v>
      </c>
      <c r="BM85" s="36">
        <f t="shared" si="177"/>
        <v>-0.0306874698206724</v>
      </c>
      <c r="BN85" s="35">
        <v>392.476075058183</v>
      </c>
      <c r="BO85" s="36">
        <f t="shared" si="178"/>
        <v>0.00623893678795473</v>
      </c>
      <c r="BP85" s="35">
        <v>388.753695278711</v>
      </c>
      <c r="BQ85" s="36">
        <f t="shared" si="179"/>
        <v>0.00653243315630614</v>
      </c>
      <c r="BR85" s="35">
        <v>421.428103966909</v>
      </c>
      <c r="BS85" s="36">
        <f t="shared" si="180"/>
        <v>0.0180121680358463</v>
      </c>
      <c r="BT85" s="35">
        <v>420.008305509172</v>
      </c>
      <c r="BU85" s="36">
        <f t="shared" si="181"/>
        <v>0.0773924849191547</v>
      </c>
      <c r="BV85" s="35">
        <f t="shared" si="182"/>
        <v>4522.52035888512</v>
      </c>
      <c r="BW85" s="36">
        <f t="shared" si="183"/>
        <v>0.0206227547608058</v>
      </c>
      <c r="BX85" s="36"/>
      <c r="BY85" s="50">
        <v>252.139711052764</v>
      </c>
      <c r="BZ85" s="721">
        <f t="shared" si="184"/>
        <v>-0.122075650911146</v>
      </c>
      <c r="CA85" s="50">
        <v>314.159928028604</v>
      </c>
      <c r="CB85" s="721">
        <f t="shared" si="185"/>
        <v>0.454993238471824</v>
      </c>
      <c r="CC85" s="41">
        <v>359.683038981291</v>
      </c>
      <c r="CD85" s="721">
        <f t="shared" si="186"/>
        <v>0.192456481032199</v>
      </c>
      <c r="CE85" s="41">
        <v>358.30980846401</v>
      </c>
      <c r="CF85" s="721">
        <f t="shared" si="187"/>
        <v>0.323188304778056</v>
      </c>
      <c r="CG85" s="41">
        <v>359.730413214831</v>
      </c>
      <c r="CH85" s="721">
        <f t="shared" si="188"/>
        <v>0.183217520848219</v>
      </c>
      <c r="CI85" s="702">
        <v>377.742925490817</v>
      </c>
      <c r="CJ85" s="721">
        <f t="shared" si="189"/>
        <v>0.264905819352166</v>
      </c>
      <c r="CK85" s="702">
        <v>388.177892323474</v>
      </c>
      <c r="CL85" s="721">
        <f t="shared" si="190"/>
        <v>0.22637567621729</v>
      </c>
      <c r="CM85" s="41">
        <v>441.111705716161</v>
      </c>
      <c r="CN85" s="721">
        <f t="shared" si="191"/>
        <v>0.267947706591381</v>
      </c>
      <c r="CO85" s="41">
        <v>390.042623783788</v>
      </c>
      <c r="CP85" s="721">
        <f t="shared" si="192"/>
        <v>0.212678357616094</v>
      </c>
      <c r="CQ85" s="41">
        <v>386.230669248927</v>
      </c>
      <c r="CR85" s="721">
        <f t="shared" si="193"/>
        <v>0.176201506092398</v>
      </c>
      <c r="CS85" s="41">
        <v>413.971578335859</v>
      </c>
      <c r="CT85" s="721">
        <f t="shared" si="194"/>
        <v>0.218380770436164</v>
      </c>
      <c r="CU85" s="41">
        <v>389.837790209469</v>
      </c>
      <c r="CV85" s="721">
        <f t="shared" si="195"/>
        <v>0.14735139327656</v>
      </c>
      <c r="CW85" s="41">
        <f t="shared" si="196"/>
        <v>4431.13808484999</v>
      </c>
      <c r="CX85" s="721">
        <f t="shared" si="197"/>
        <v>0.20230334835584</v>
      </c>
      <c r="CY85" s="721"/>
      <c r="CZ85" s="721">
        <f t="shared" si="198"/>
        <v>-0.0582981764675884</v>
      </c>
      <c r="DA85" s="721">
        <f t="shared" si="199"/>
        <v>0.0718247184794456</v>
      </c>
      <c r="DB85" s="721"/>
      <c r="DC85" s="721"/>
      <c r="DD85" s="721"/>
      <c r="DE85" s="721"/>
      <c r="DF85" s="721"/>
      <c r="DG85" s="721"/>
      <c r="DH85" s="721"/>
      <c r="DI85" s="721"/>
      <c r="DJ85" s="721"/>
      <c r="DK85" s="721"/>
      <c r="DL85" s="206"/>
      <c r="DM85" s="742">
        <v>287.199815467523</v>
      </c>
      <c r="DN85" s="742">
        <v>215.918479702741</v>
      </c>
      <c r="DO85" s="731">
        <v>301.632004775509</v>
      </c>
      <c r="DP85" s="731">
        <v>270.792756533705</v>
      </c>
      <c r="DQ85" s="731">
        <v>304.027287355371</v>
      </c>
      <c r="DR85" s="731">
        <v>298.633241867985</v>
      </c>
      <c r="DS85" s="731">
        <v>316.524454823496</v>
      </c>
      <c r="DT85" s="731">
        <v>347.894241555119</v>
      </c>
      <c r="DU85" s="731">
        <v>321.637325622386</v>
      </c>
      <c r="DV85" s="731">
        <v>328.371173857846</v>
      </c>
      <c r="DW85" s="731">
        <v>353.13812829428</v>
      </c>
      <c r="DX85" s="731">
        <v>339.77192383598</v>
      </c>
      <c r="DY85" s="732">
        <v>-0.0750362820378452</v>
      </c>
      <c r="DZ85" s="731">
        <f t="shared" si="200"/>
        <v>3685.54083369194</v>
      </c>
      <c r="EA85" s="733">
        <f t="shared" si="201"/>
        <v>-0.086009097399346</v>
      </c>
      <c r="EB85" s="733"/>
      <c r="EC85" s="737">
        <v>375.613712060271</v>
      </c>
      <c r="ED85" s="737">
        <v>167.216752809235</v>
      </c>
      <c r="EE85" s="737">
        <v>279.935576216909</v>
      </c>
      <c r="EF85" s="737">
        <v>322.977728793427</v>
      </c>
      <c r="EG85" s="737">
        <v>339.88614779672</v>
      </c>
      <c r="EH85" s="737">
        <v>384.628647102585</v>
      </c>
      <c r="EI85" s="737">
        <v>353.63168025989</v>
      </c>
      <c r="EJ85" s="737">
        <v>366.190373357386</v>
      </c>
      <c r="EK85" s="737">
        <v>365.220580192785</v>
      </c>
      <c r="EL85" s="737">
        <v>339.93795188965</v>
      </c>
      <c r="EM85" s="737">
        <v>369.785965112232</v>
      </c>
      <c r="EN85" s="737">
        <v>367.335407041211</v>
      </c>
      <c r="EO85" s="724">
        <f t="shared" si="202"/>
        <v>4032.3605226323</v>
      </c>
      <c r="EP85" s="36"/>
      <c r="EQ85" s="740">
        <f>SUM(EC85:EN85)</f>
        <v>4032.3605226323</v>
      </c>
    </row>
    <row r="86" ht="27" customHeight="1" spans="1:147">
      <c r="A86" s="45"/>
      <c r="B86" s="707" t="s">
        <v>91</v>
      </c>
      <c r="C86" s="35">
        <f>C87+C88</f>
        <v>62809.9575849214</v>
      </c>
      <c r="D86" s="36">
        <f t="shared" si="146"/>
        <v>0.142666984031144</v>
      </c>
      <c r="E86" s="35">
        <f>E87+E88</f>
        <v>42674.0877846036</v>
      </c>
      <c r="F86" s="36">
        <f t="shared" si="147"/>
        <v>-0.136775305287015</v>
      </c>
      <c r="G86" s="35">
        <f>G87+G88</f>
        <v>59582.3737783822</v>
      </c>
      <c r="H86" s="36">
        <f t="shared" si="148"/>
        <v>-0.043501527806392</v>
      </c>
      <c r="I86" s="35">
        <f>I87+I88</f>
        <v>60901.5425569174</v>
      </c>
      <c r="J86" s="36">
        <f t="shared" si="149"/>
        <v>-0.027399286696977</v>
      </c>
      <c r="K86" s="35">
        <f>K87+K88</f>
        <v>60202.5585128536</v>
      </c>
      <c r="L86" s="36">
        <f t="shared" si="150"/>
        <v>-0.0317501803459157</v>
      </c>
      <c r="M86" s="35">
        <f>M87+M88</f>
        <v>60110.1267227624</v>
      </c>
      <c r="N86" s="36">
        <f t="shared" si="151"/>
        <v>0.00148080634670444</v>
      </c>
      <c r="O86" s="35">
        <f>O87+O88</f>
        <v>60602.9127503037</v>
      </c>
      <c r="P86" s="36">
        <f t="shared" si="152"/>
        <v>-0.00870559594762388</v>
      </c>
      <c r="Q86" s="127"/>
      <c r="R86" s="127"/>
      <c r="S86" s="35">
        <f t="shared" si="153"/>
        <v>406883.559690744</v>
      </c>
      <c r="T86" s="36">
        <f t="shared" si="154"/>
        <v>-0.146813680595799</v>
      </c>
      <c r="U86" s="36"/>
      <c r="V86" s="35">
        <f>V87+V88</f>
        <v>54967.8589323882</v>
      </c>
      <c r="W86" s="36">
        <f t="shared" si="155"/>
        <v>-0.0665445372438773</v>
      </c>
      <c r="X86" s="35">
        <f>X87+X88</f>
        <v>49435.6661086861</v>
      </c>
      <c r="Y86" s="36">
        <f t="shared" si="156"/>
        <v>0.480117824435729</v>
      </c>
      <c r="Z86" s="35">
        <f>Z87+Z88</f>
        <v>62292.1787232316</v>
      </c>
      <c r="AA86" s="36">
        <f t="shared" si="157"/>
        <v>0.103796034954123</v>
      </c>
      <c r="AB86" s="35">
        <f>AB87+AB88</f>
        <v>62617.2094302618</v>
      </c>
      <c r="AC86" s="36">
        <f t="shared" si="158"/>
        <v>0.121293204087916</v>
      </c>
      <c r="AD86" s="35">
        <f>AD87+AD88</f>
        <v>62176.67929374</v>
      </c>
      <c r="AE86" s="36">
        <f t="shared" si="159"/>
        <v>0.103123370963164</v>
      </c>
      <c r="AF86" s="35">
        <f>AF87+AF88</f>
        <v>60021.2468794462</v>
      </c>
      <c r="AG86" s="36">
        <f t="shared" si="160"/>
        <v>0.108422844329885</v>
      </c>
      <c r="AH86" s="35">
        <f>AH87+AH88</f>
        <v>61135.1304945949</v>
      </c>
      <c r="AI86" s="36">
        <f t="shared" si="161"/>
        <v>0.071796567404683</v>
      </c>
      <c r="AJ86" s="35">
        <f>AJ87+AJ88</f>
        <v>64252.862710213</v>
      </c>
      <c r="AK86" s="36">
        <f t="shared" si="162"/>
        <v>0.0343386043839287</v>
      </c>
      <c r="AL86" s="35">
        <f>AL87+AL88</f>
        <v>64137.974340287</v>
      </c>
      <c r="AM86" s="36">
        <f t="shared" si="163"/>
        <v>0.0583058462196544</v>
      </c>
      <c r="AN86" s="35">
        <f>AN87+AN88</f>
        <v>55500.4761195808</v>
      </c>
      <c r="AO86" s="36">
        <f t="shared" si="164"/>
        <v>-0.0596834483162283</v>
      </c>
      <c r="AP86" s="35">
        <f>AP87+AP88</f>
        <v>58778.0947489132</v>
      </c>
      <c r="AQ86" s="36">
        <f t="shared" si="165"/>
        <v>-0.0612281701939247</v>
      </c>
      <c r="AR86" s="35">
        <f>AR87+AR88</f>
        <v>58789.9052130038</v>
      </c>
      <c r="AS86" s="36">
        <f t="shared" si="166"/>
        <v>-0.0774842255126499</v>
      </c>
      <c r="AT86" s="35">
        <f t="shared" si="167"/>
        <v>714105.282994347</v>
      </c>
      <c r="AU86" s="36">
        <f t="shared" si="168"/>
        <v>0.0498375206453743</v>
      </c>
      <c r="AV86" s="36"/>
      <c r="AW86" s="35">
        <f t="shared" si="169"/>
        <v>616477.721234364</v>
      </c>
      <c r="AX86" s="35">
        <f>AX87+AX88</f>
        <v>58886.4291072763</v>
      </c>
      <c r="AY86" s="36">
        <f t="shared" si="170"/>
        <v>0.391433857681813</v>
      </c>
      <c r="AZ86" s="35">
        <f>AZ87+AZ88</f>
        <v>33399.8181040301</v>
      </c>
      <c r="BA86" s="36">
        <f t="shared" si="171"/>
        <v>-0.309452076226708</v>
      </c>
      <c r="BB86" s="35">
        <f>BB87+BB88</f>
        <v>56434.5012580342</v>
      </c>
      <c r="BC86" s="36">
        <f t="shared" si="172"/>
        <v>0.0282027907094593</v>
      </c>
      <c r="BD86" s="35">
        <f>BD87+BD88</f>
        <v>55843.7429228834</v>
      </c>
      <c r="BE86" s="36">
        <f t="shared" si="173"/>
        <v>0.0224764695379289</v>
      </c>
      <c r="BF86" s="35">
        <f>BF87+BF88</f>
        <v>56364.2117739306</v>
      </c>
      <c r="BG86" s="36">
        <f t="shared" si="174"/>
        <v>0.0571020649751734</v>
      </c>
      <c r="BH86" s="35">
        <f>BH87+BH88</f>
        <v>54150.1352001934</v>
      </c>
      <c r="BI86" s="36">
        <f t="shared" si="175"/>
        <v>-0.0321166534984637</v>
      </c>
      <c r="BJ86" s="35">
        <f>BJ87+BJ88</f>
        <v>57039.8640505366</v>
      </c>
      <c r="BK86" s="36">
        <f t="shared" si="176"/>
        <v>0.00331028011449419</v>
      </c>
      <c r="BL86" s="35">
        <f>BL87+BL88</f>
        <v>62119.7569518187</v>
      </c>
      <c r="BM86" s="36">
        <f t="shared" si="177"/>
        <v>-0.0204834368100036</v>
      </c>
      <c r="BN86" s="35">
        <f>BN87+BN88</f>
        <v>60604.3844219443</v>
      </c>
      <c r="BO86" s="36">
        <f t="shared" si="178"/>
        <v>0.0037401047452621</v>
      </c>
      <c r="BP86" s="35">
        <f>BP87+BP88</f>
        <v>59023.1832250525</v>
      </c>
      <c r="BQ86" s="36">
        <f t="shared" si="179"/>
        <v>0.036380723889849</v>
      </c>
      <c r="BR86" s="35">
        <f>BR87+BR88</f>
        <v>62611.6942186635</v>
      </c>
      <c r="BS86" s="36">
        <f t="shared" si="180"/>
        <v>0.00612402543356638</v>
      </c>
      <c r="BT86" s="35">
        <f>BT87+BT88</f>
        <v>63727.8048125235</v>
      </c>
      <c r="BU86" s="36">
        <f t="shared" si="181"/>
        <v>0.0837996192094694</v>
      </c>
      <c r="BV86" s="35">
        <f t="shared" si="182"/>
        <v>680205.526046887</v>
      </c>
      <c r="BW86" s="36">
        <f t="shared" si="183"/>
        <v>0.0181372133875817</v>
      </c>
      <c r="BX86" s="36"/>
      <c r="BY86" s="41">
        <f>BY87+BY88</f>
        <v>42320.6814913815</v>
      </c>
      <c r="BZ86" s="721">
        <f t="shared" si="184"/>
        <v>-0.0558491945007433</v>
      </c>
      <c r="CA86" s="41">
        <f>CA87+CA88</f>
        <v>48367.1255161073</v>
      </c>
      <c r="CB86" s="721">
        <f t="shared" si="185"/>
        <v>0.5259876857934</v>
      </c>
      <c r="CC86" s="41">
        <f>SUM(CC87:CC88)</f>
        <v>54886.5474476046</v>
      </c>
      <c r="CD86" s="721">
        <f t="shared" si="186"/>
        <v>0.243695787087959</v>
      </c>
      <c r="CE86" s="41">
        <v>54616.1643681834</v>
      </c>
      <c r="CF86" s="721">
        <f t="shared" si="187"/>
        <v>0.323705860858073</v>
      </c>
      <c r="CG86" s="41">
        <v>53319.5550755587</v>
      </c>
      <c r="CH86" s="721">
        <f t="shared" si="188"/>
        <v>0.190845680077344</v>
      </c>
      <c r="CI86" s="41">
        <f>CI87+CI88</f>
        <v>55946.9644724458</v>
      </c>
      <c r="CJ86" s="721">
        <f t="shared" si="189"/>
        <v>0.25899071083072</v>
      </c>
      <c r="CK86" s="41">
        <f>CK87+CK88</f>
        <v>56851.6691008363</v>
      </c>
      <c r="CL86" s="721">
        <f t="shared" si="190"/>
        <v>0.217045314903089</v>
      </c>
      <c r="CM86" s="41">
        <v>63418.7917655144</v>
      </c>
      <c r="CN86" s="721">
        <f t="shared" si="191"/>
        <v>0.269543047629617</v>
      </c>
      <c r="CO86" s="41">
        <f>SUM(CO87:CO88)</f>
        <v>60378.5622746687</v>
      </c>
      <c r="CP86" s="721">
        <f t="shared" si="192"/>
        <v>0.214282807712185</v>
      </c>
      <c r="CQ86" s="41">
        <f>SUM(CQ87:CQ88)</f>
        <v>56951.2553297216</v>
      </c>
      <c r="CR86" s="721">
        <f t="shared" si="193"/>
        <v>0.0974010524400433</v>
      </c>
      <c r="CS86" s="41">
        <f>CS87+CS88</f>
        <v>62230.592487524</v>
      </c>
      <c r="CT86" s="721">
        <f t="shared" si="194"/>
        <v>0.169960621170527</v>
      </c>
      <c r="CU86" s="41">
        <f>CU87+CU88</f>
        <v>58800.3572643871</v>
      </c>
      <c r="CV86" s="721">
        <f t="shared" si="195"/>
        <v>0.105470794350593</v>
      </c>
      <c r="CW86" s="41">
        <f t="shared" si="196"/>
        <v>668088.266593933</v>
      </c>
      <c r="CX86" s="721">
        <f t="shared" si="197"/>
        <v>0.194290591338385</v>
      </c>
      <c r="CY86" s="721"/>
      <c r="CZ86" s="721">
        <f t="shared" si="198"/>
        <v>-0.0551213653288709</v>
      </c>
      <c r="DA86" s="721">
        <f t="shared" si="199"/>
        <v>0.0926992236999424</v>
      </c>
      <c r="DB86" s="721"/>
      <c r="DC86" s="721"/>
      <c r="DD86" s="721"/>
      <c r="DE86" s="721"/>
      <c r="DF86" s="721"/>
      <c r="DG86" s="721"/>
      <c r="DH86" s="721"/>
      <c r="DI86" s="721"/>
      <c r="DJ86" s="721"/>
      <c r="DK86" s="721"/>
      <c r="DM86" s="41">
        <v>44824.0696770923</v>
      </c>
      <c r="DN86" s="41">
        <v>31695.6198050576</v>
      </c>
      <c r="DO86" s="41">
        <v>44131.8110243971</v>
      </c>
      <c r="DP86" s="41">
        <v>41260.0457421706</v>
      </c>
      <c r="DQ86" s="41">
        <v>44774.5295360988</v>
      </c>
      <c r="DR86" s="41">
        <v>44437.9485814715</v>
      </c>
      <c r="DS86" s="41">
        <v>46712.8613903446</v>
      </c>
      <c r="DT86" s="41">
        <v>49954.0302189237</v>
      </c>
      <c r="DU86" s="41">
        <v>49723.6408941894</v>
      </c>
      <c r="DV86" s="41">
        <v>51896.483243835</v>
      </c>
      <c r="DW86" s="41">
        <v>56800.3956365843</v>
      </c>
      <c r="DX86" s="41">
        <v>53190.3308209325</v>
      </c>
      <c r="DY86" s="721">
        <v>0.00374211241663525</v>
      </c>
      <c r="DZ86" s="41">
        <f t="shared" si="200"/>
        <v>559401.766571097</v>
      </c>
      <c r="EA86" s="36">
        <f t="shared" si="201"/>
        <v>-0.0478899100781324</v>
      </c>
      <c r="EB86" s="36"/>
      <c r="EC86" s="737">
        <f t="shared" ref="EC86:EN86" si="205">EC87+EC88</f>
        <v>57581.2332864004</v>
      </c>
      <c r="ED86" s="737">
        <f t="shared" si="205"/>
        <v>28042.6427013406</v>
      </c>
      <c r="EE86" s="737">
        <f t="shared" si="205"/>
        <v>42801.0752769971</v>
      </c>
      <c r="EF86" s="737">
        <f t="shared" si="205"/>
        <v>46737.6022580398</v>
      </c>
      <c r="EG86" s="737">
        <f t="shared" si="205"/>
        <v>47990.7957372912</v>
      </c>
      <c r="EH86" s="737">
        <f t="shared" si="205"/>
        <v>52701.0136413258</v>
      </c>
      <c r="EI86" s="737">
        <f t="shared" si="205"/>
        <v>48671.2679343698</v>
      </c>
      <c r="EJ86" s="737">
        <f t="shared" si="205"/>
        <v>53619.3545834564</v>
      </c>
      <c r="EK86" s="737">
        <f t="shared" si="205"/>
        <v>52554.9741255428</v>
      </c>
      <c r="EL86" s="737">
        <f t="shared" si="205"/>
        <v>48599.2142204048</v>
      </c>
      <c r="EM86" s="50">
        <f t="shared" si="205"/>
        <v>55247.7518003599</v>
      </c>
      <c r="EN86" s="50">
        <f t="shared" si="205"/>
        <v>52992.0286923801</v>
      </c>
      <c r="EO86" s="724">
        <f t="shared" si="202"/>
        <v>587538.954257909</v>
      </c>
      <c r="EP86" s="36"/>
      <c r="EQ86" s="738"/>
    </row>
    <row r="87" ht="27" customHeight="1" spans="1:147">
      <c r="A87" s="45"/>
      <c r="B87" s="707" t="s">
        <v>92</v>
      </c>
      <c r="C87" s="35">
        <v>1068.7085</v>
      </c>
      <c r="D87" s="36">
        <f t="shared" si="146"/>
        <v>0.521742721159631</v>
      </c>
      <c r="E87" s="35">
        <v>694.6345</v>
      </c>
      <c r="F87" s="36">
        <f t="shared" si="147"/>
        <v>0.146593041420556</v>
      </c>
      <c r="G87" s="35">
        <v>786.8428</v>
      </c>
      <c r="H87" s="36">
        <f t="shared" si="148"/>
        <v>0.661960288322174</v>
      </c>
      <c r="I87" s="35">
        <v>674.0273</v>
      </c>
      <c r="J87" s="36">
        <f t="shared" si="149"/>
        <v>0.365829228412717</v>
      </c>
      <c r="K87" s="35">
        <v>640.7112</v>
      </c>
      <c r="L87" s="36">
        <f t="shared" si="150"/>
        <v>0.360406802721955</v>
      </c>
      <c r="M87" s="35">
        <v>720.8279</v>
      </c>
      <c r="N87" s="36">
        <f t="shared" si="151"/>
        <v>0.49790046454313</v>
      </c>
      <c r="O87" s="35">
        <v>717.8387</v>
      </c>
      <c r="P87" s="36">
        <f t="shared" si="152"/>
        <v>0.402439307914563</v>
      </c>
      <c r="Q87" s="127"/>
      <c r="R87" s="127"/>
      <c r="S87" s="35">
        <f t="shared" si="153"/>
        <v>5303.5909</v>
      </c>
      <c r="T87" s="36">
        <f t="shared" si="154"/>
        <v>0.234629556140881</v>
      </c>
      <c r="U87" s="36"/>
      <c r="V87" s="35">
        <v>702.2925</v>
      </c>
      <c r="W87" s="36">
        <f t="shared" si="155"/>
        <v>-0.520422909156763</v>
      </c>
      <c r="X87" s="35">
        <v>605.8248</v>
      </c>
      <c r="Y87" s="36">
        <f t="shared" si="156"/>
        <v>-0.468750328838679</v>
      </c>
      <c r="Z87" s="35">
        <v>473.4426</v>
      </c>
      <c r="AA87" s="36">
        <f t="shared" si="157"/>
        <v>-0.551441411951296</v>
      </c>
      <c r="AB87" s="35">
        <v>493.4931</v>
      </c>
      <c r="AC87" s="36">
        <f t="shared" si="158"/>
        <v>-0.295433603504178</v>
      </c>
      <c r="AD87" s="35">
        <v>470.9703</v>
      </c>
      <c r="AE87" s="36">
        <f t="shared" si="159"/>
        <v>-0.351875852866816</v>
      </c>
      <c r="AF87" s="35">
        <v>481.2255</v>
      </c>
      <c r="AG87" s="36">
        <f t="shared" si="160"/>
        <v>-0.291849936649533</v>
      </c>
      <c r="AH87" s="35">
        <v>511.8501</v>
      </c>
      <c r="AI87" s="36">
        <f t="shared" si="161"/>
        <v>-0.332247613521145</v>
      </c>
      <c r="AJ87" s="35">
        <v>556.5952</v>
      </c>
      <c r="AK87" s="36">
        <f t="shared" si="162"/>
        <v>-0.34710225151959</v>
      </c>
      <c r="AL87" s="35">
        <v>516.5</v>
      </c>
      <c r="AM87" s="36">
        <f t="shared" si="163"/>
        <v>-0.247012432531804</v>
      </c>
      <c r="AN87" s="35">
        <v>483.5372</v>
      </c>
      <c r="AO87" s="36">
        <f t="shared" si="164"/>
        <v>-0.316078914602438</v>
      </c>
      <c r="AP87" s="35">
        <v>523.8933</v>
      </c>
      <c r="AQ87" s="36">
        <f t="shared" si="165"/>
        <v>-0.303690328960354</v>
      </c>
      <c r="AR87" s="35">
        <v>569.5988</v>
      </c>
      <c r="AS87" s="36">
        <f t="shared" si="166"/>
        <v>-0.312728829445384</v>
      </c>
      <c r="AT87" s="35">
        <f t="shared" si="167"/>
        <v>6389.2234</v>
      </c>
      <c r="AU87" s="36">
        <f t="shared" si="168"/>
        <v>-0.383281356647861</v>
      </c>
      <c r="AV87" s="36"/>
      <c r="AW87" s="35">
        <f t="shared" si="169"/>
        <v>9531.2464</v>
      </c>
      <c r="AX87" s="35">
        <v>1464.3996</v>
      </c>
      <c r="AY87" s="36">
        <f t="shared" si="170"/>
        <v>0.954507895378543</v>
      </c>
      <c r="AZ87" s="35">
        <v>1140.3768</v>
      </c>
      <c r="BA87" s="36">
        <f t="shared" si="171"/>
        <v>-0.189441428204259</v>
      </c>
      <c r="BB87" s="35">
        <v>1055.4755</v>
      </c>
      <c r="BC87" s="36">
        <f t="shared" si="172"/>
        <v>0.108350467397673</v>
      </c>
      <c r="BD87" s="35">
        <v>700.421</v>
      </c>
      <c r="BE87" s="36">
        <f t="shared" si="173"/>
        <v>-0.243215752568792</v>
      </c>
      <c r="BF87" s="35">
        <v>726.6668</v>
      </c>
      <c r="BG87" s="36">
        <f t="shared" si="174"/>
        <v>-0.191498721882102</v>
      </c>
      <c r="BH87" s="35">
        <v>679.553</v>
      </c>
      <c r="BI87" s="36">
        <f t="shared" si="175"/>
        <v>0.0629418998569402</v>
      </c>
      <c r="BJ87" s="35">
        <v>766.5268</v>
      </c>
      <c r="BK87" s="36">
        <f t="shared" si="176"/>
        <v>0.072464141215014</v>
      </c>
      <c r="BL87" s="35">
        <v>852.4998</v>
      </c>
      <c r="BM87" s="36">
        <f t="shared" si="177"/>
        <v>0.145685234163334</v>
      </c>
      <c r="BN87" s="35">
        <v>685.9343</v>
      </c>
      <c r="BO87" s="36">
        <f t="shared" si="178"/>
        <v>0.0083105388245559</v>
      </c>
      <c r="BP87" s="35">
        <v>707.0073</v>
      </c>
      <c r="BQ87" s="36">
        <f t="shared" si="179"/>
        <v>-0.109309409488314</v>
      </c>
      <c r="BR87" s="35">
        <v>752.3855</v>
      </c>
      <c r="BS87" s="36">
        <f t="shared" si="180"/>
        <v>-0.20815537797996</v>
      </c>
      <c r="BT87" s="35">
        <v>828.7832</v>
      </c>
      <c r="BU87" s="36">
        <f t="shared" si="181"/>
        <v>-0.107828073865324</v>
      </c>
      <c r="BV87" s="35">
        <f t="shared" si="182"/>
        <v>10360.0296</v>
      </c>
      <c r="BW87" s="36">
        <f t="shared" si="183"/>
        <v>-0.0023142199304963</v>
      </c>
      <c r="BX87" s="36"/>
      <c r="BY87" s="50">
        <v>749.2421</v>
      </c>
      <c r="BZ87" s="721">
        <f t="shared" si="184"/>
        <v>0.100275714305644</v>
      </c>
      <c r="CA87" s="50">
        <v>1406.9024</v>
      </c>
      <c r="CB87" s="721">
        <f t="shared" si="185"/>
        <v>1.33259819062711</v>
      </c>
      <c r="CC87" s="41">
        <v>952.294</v>
      </c>
      <c r="CD87" s="721">
        <f t="shared" si="186"/>
        <v>0.551115717414678</v>
      </c>
      <c r="CE87" s="41">
        <v>925.5227</v>
      </c>
      <c r="CF87" s="721">
        <f t="shared" si="187"/>
        <v>0.630930171291928</v>
      </c>
      <c r="CG87" s="41">
        <v>898.7825</v>
      </c>
      <c r="CH87" s="721">
        <f t="shared" si="188"/>
        <v>0.523860718995494</v>
      </c>
      <c r="CI87" s="702">
        <v>639.3134</v>
      </c>
      <c r="CJ87" s="721">
        <f t="shared" si="189"/>
        <v>0.00470328950532162</v>
      </c>
      <c r="CK87" s="702">
        <v>714.7342</v>
      </c>
      <c r="CL87" s="721">
        <f t="shared" si="190"/>
        <v>-0.0468610664110148</v>
      </c>
      <c r="CM87" s="41">
        <v>744.096</v>
      </c>
      <c r="CN87" s="721">
        <f t="shared" si="191"/>
        <v>0.0899185434942236</v>
      </c>
      <c r="CO87" s="702">
        <v>680.2808</v>
      </c>
      <c r="CP87" s="721">
        <f t="shared" si="192"/>
        <v>0.111990746825106</v>
      </c>
      <c r="CQ87" s="702">
        <v>793.7743</v>
      </c>
      <c r="CR87" s="721">
        <f t="shared" si="193"/>
        <v>0.382996020403772</v>
      </c>
      <c r="CS87" s="50">
        <v>950.1681</v>
      </c>
      <c r="CT87" s="721">
        <f t="shared" si="194"/>
        <v>0.386528219321048</v>
      </c>
      <c r="CU87" s="50">
        <v>928.9501</v>
      </c>
      <c r="CV87" s="721">
        <f t="shared" si="195"/>
        <v>0.355565955109532</v>
      </c>
      <c r="CW87" s="41">
        <f t="shared" si="196"/>
        <v>10384.0606</v>
      </c>
      <c r="CX87" s="721">
        <f t="shared" si="197"/>
        <v>0.352345158457424</v>
      </c>
      <c r="CY87" s="721"/>
      <c r="CZ87" s="721">
        <f t="shared" si="198"/>
        <v>-0.0223307854683819</v>
      </c>
      <c r="DA87" s="721">
        <f t="shared" si="199"/>
        <v>0.197025527281495</v>
      </c>
      <c r="DB87" s="721"/>
      <c r="DC87" s="721"/>
      <c r="DD87" s="721"/>
      <c r="DE87" s="721"/>
      <c r="DF87" s="721"/>
      <c r="DG87" s="721"/>
      <c r="DH87" s="721"/>
      <c r="DI87" s="721"/>
      <c r="DJ87" s="721"/>
      <c r="DK87" s="721"/>
      <c r="DM87" s="50">
        <v>680.9585</v>
      </c>
      <c r="DN87" s="50">
        <v>603.1482</v>
      </c>
      <c r="DO87" s="41">
        <v>613.9413</v>
      </c>
      <c r="DP87" s="41">
        <v>567.4815</v>
      </c>
      <c r="DQ87" s="41">
        <v>589.8062</v>
      </c>
      <c r="DR87" s="41">
        <v>636.3206</v>
      </c>
      <c r="DS87" s="41">
        <v>749.8741</v>
      </c>
      <c r="DT87" s="41">
        <v>682.7079</v>
      </c>
      <c r="DU87" s="41">
        <v>611.7684</v>
      </c>
      <c r="DV87" s="41">
        <v>573.9527</v>
      </c>
      <c r="DW87" s="41">
        <v>683.3127</v>
      </c>
      <c r="DX87" s="41">
        <v>685.2858</v>
      </c>
      <c r="DY87" s="721">
        <v>0.735968270108378</v>
      </c>
      <c r="DZ87" s="41">
        <f t="shared" si="200"/>
        <v>7678.5579</v>
      </c>
      <c r="EA87" s="36">
        <f t="shared" si="201"/>
        <v>0.562160742229186</v>
      </c>
      <c r="EB87" s="36"/>
      <c r="EC87" s="737">
        <v>470.521</v>
      </c>
      <c r="ED87" s="737">
        <v>352.357</v>
      </c>
      <c r="EE87" s="737">
        <v>351.613</v>
      </c>
      <c r="EF87" s="737">
        <v>336.859</v>
      </c>
      <c r="EG87" s="737">
        <v>343.652</v>
      </c>
      <c r="EH87" s="737">
        <v>435.0518</v>
      </c>
      <c r="EI87" s="737">
        <v>399.0962</v>
      </c>
      <c r="EJ87" s="737">
        <v>493.7811</v>
      </c>
      <c r="EK87" s="737">
        <v>469.3894</v>
      </c>
      <c r="EL87" s="737">
        <v>369.0599</v>
      </c>
      <c r="EM87" s="737">
        <v>499.2068</v>
      </c>
      <c r="EN87" s="737">
        <v>394.7571</v>
      </c>
      <c r="EO87" s="717">
        <f t="shared" si="202"/>
        <v>4915.3443</v>
      </c>
      <c r="EP87" s="36"/>
      <c r="EQ87" s="740">
        <f>SUM(EC87:EN87)</f>
        <v>4915.3443</v>
      </c>
    </row>
    <row r="88" ht="27" customHeight="1" spans="1:147">
      <c r="A88" s="29"/>
      <c r="B88" s="707" t="s">
        <v>93</v>
      </c>
      <c r="C88" s="35">
        <v>61741.2490849214</v>
      </c>
      <c r="D88" s="36">
        <f t="shared" si="146"/>
        <v>0.137761072886754</v>
      </c>
      <c r="E88" s="35">
        <v>41979.4532846036</v>
      </c>
      <c r="F88" s="36">
        <f t="shared" si="147"/>
        <v>-0.140291015503749</v>
      </c>
      <c r="G88" s="35">
        <v>58795.5309783822</v>
      </c>
      <c r="H88" s="36">
        <f t="shared" si="148"/>
        <v>-0.04890435059725</v>
      </c>
      <c r="I88" s="35">
        <v>60227.5152569174</v>
      </c>
      <c r="J88" s="36">
        <f t="shared" si="149"/>
        <v>-0.0305229819681717</v>
      </c>
      <c r="K88" s="35">
        <v>59561.8473128536</v>
      </c>
      <c r="L88" s="36">
        <f t="shared" si="150"/>
        <v>-0.0347433279002417</v>
      </c>
      <c r="M88" s="35">
        <v>59389.2988227624</v>
      </c>
      <c r="N88" s="36">
        <f t="shared" si="151"/>
        <v>-0.00253144948879436</v>
      </c>
      <c r="O88" s="35">
        <v>59885.0740503037</v>
      </c>
      <c r="P88" s="36">
        <f t="shared" si="152"/>
        <v>-0.0121769448879413</v>
      </c>
      <c r="Q88" s="127"/>
      <c r="R88" s="127"/>
      <c r="S88" s="35">
        <f t="shared" si="153"/>
        <v>401579.968790744</v>
      </c>
      <c r="T88" s="36">
        <f t="shared" si="154"/>
        <v>-0.150280782965941</v>
      </c>
      <c r="U88" s="36"/>
      <c r="V88" s="35">
        <v>54265.5664323882</v>
      </c>
      <c r="W88" s="36">
        <f t="shared" si="155"/>
        <v>-0.0549695491777789</v>
      </c>
      <c r="X88" s="35">
        <v>48829.8413086861</v>
      </c>
      <c r="Y88" s="36">
        <f t="shared" si="156"/>
        <v>0.513660476896911</v>
      </c>
      <c r="Z88" s="35">
        <v>61818.7361232316</v>
      </c>
      <c r="AA88" s="36">
        <f t="shared" si="157"/>
        <v>0.116284284113885</v>
      </c>
      <c r="AB88" s="35">
        <v>62123.7163302618</v>
      </c>
      <c r="AC88" s="36">
        <f t="shared" si="158"/>
        <v>0.12658639639339</v>
      </c>
      <c r="AD88" s="35">
        <v>61705.70899374</v>
      </c>
      <c r="AE88" s="36">
        <f t="shared" si="159"/>
        <v>0.109065991726498</v>
      </c>
      <c r="AF88" s="35">
        <v>59540.0213794462</v>
      </c>
      <c r="AG88" s="36">
        <f t="shared" si="160"/>
        <v>0.113509876449987</v>
      </c>
      <c r="AH88" s="35">
        <v>60623.2803945949</v>
      </c>
      <c r="AI88" s="36">
        <f t="shared" si="161"/>
        <v>0.0773002518882389</v>
      </c>
      <c r="AJ88" s="35">
        <v>63696.267510213</v>
      </c>
      <c r="AK88" s="36">
        <f t="shared" si="162"/>
        <v>0.0396461416964573</v>
      </c>
      <c r="AL88" s="35">
        <v>63621.474340287</v>
      </c>
      <c r="AM88" s="36">
        <f t="shared" si="163"/>
        <v>0.0618010681318761</v>
      </c>
      <c r="AN88" s="35">
        <v>55016.9389195808</v>
      </c>
      <c r="AO88" s="36">
        <f t="shared" si="164"/>
        <v>-0.0565749888969375</v>
      </c>
      <c r="AP88" s="35">
        <v>58254.2014489132</v>
      </c>
      <c r="AQ88" s="36">
        <f t="shared" si="165"/>
        <v>-0.0582791392989267</v>
      </c>
      <c r="AR88" s="35">
        <v>58220.3064130038</v>
      </c>
      <c r="AS88" s="36">
        <f t="shared" si="166"/>
        <v>-0.074384546525095</v>
      </c>
      <c r="AT88" s="35">
        <f t="shared" si="167"/>
        <v>707716.059594347</v>
      </c>
      <c r="AU88" s="36">
        <f t="shared" si="168"/>
        <v>0.0565362659722866</v>
      </c>
      <c r="AV88" s="36"/>
      <c r="AW88" s="35">
        <f t="shared" si="169"/>
        <v>606946.474834364</v>
      </c>
      <c r="AX88" s="35">
        <v>57422.0295072763</v>
      </c>
      <c r="AY88" s="36">
        <f t="shared" si="170"/>
        <v>0.381285573652302</v>
      </c>
      <c r="AZ88" s="35">
        <v>32259.4413040301</v>
      </c>
      <c r="BA88" s="36">
        <f t="shared" si="171"/>
        <v>-0.313047529091378</v>
      </c>
      <c r="BB88" s="35">
        <v>55379.0257580342</v>
      </c>
      <c r="BC88" s="36">
        <f t="shared" si="172"/>
        <v>0.0267876575288681</v>
      </c>
      <c r="BD88" s="35">
        <v>55143.3219228834</v>
      </c>
      <c r="BE88" s="36">
        <f t="shared" si="173"/>
        <v>0.0270564889814093</v>
      </c>
      <c r="BF88" s="35">
        <v>55637.5449739306</v>
      </c>
      <c r="BG88" s="36">
        <f t="shared" si="174"/>
        <v>0.0613644599330405</v>
      </c>
      <c r="BH88" s="35">
        <v>53470.5822001934</v>
      </c>
      <c r="BI88" s="36">
        <f t="shared" si="175"/>
        <v>-0.0332154563904021</v>
      </c>
      <c r="BJ88" s="35">
        <v>56273.3372505366</v>
      </c>
      <c r="BK88" s="36">
        <f t="shared" si="176"/>
        <v>0.00242981470116321</v>
      </c>
      <c r="BL88" s="35">
        <v>61267.2571518187</v>
      </c>
      <c r="BM88" s="36">
        <f t="shared" si="177"/>
        <v>-0.0224562496316115</v>
      </c>
      <c r="BN88" s="35">
        <v>59918.4501219443</v>
      </c>
      <c r="BO88" s="36">
        <f t="shared" si="178"/>
        <v>0.00368802320329809</v>
      </c>
      <c r="BP88" s="35">
        <v>58316.1759250525</v>
      </c>
      <c r="BQ88" s="36">
        <f t="shared" si="179"/>
        <v>0.0384400235863214</v>
      </c>
      <c r="BR88" s="35">
        <v>61859.3087186635</v>
      </c>
      <c r="BS88" s="36">
        <f t="shared" si="180"/>
        <v>0.00944648045318308</v>
      </c>
      <c r="BT88" s="35">
        <v>62899.0216125235</v>
      </c>
      <c r="BU88" s="36">
        <f t="shared" si="181"/>
        <v>0.0868756212174895</v>
      </c>
      <c r="BV88" s="35">
        <f t="shared" si="182"/>
        <v>669845.496446887</v>
      </c>
      <c r="BW88" s="36">
        <f t="shared" si="183"/>
        <v>0.0184601076628446</v>
      </c>
      <c r="BX88" s="36"/>
      <c r="BY88" s="50">
        <v>41571.4393913815</v>
      </c>
      <c r="BZ88" s="721">
        <f t="shared" si="184"/>
        <v>-0.0582576016310637</v>
      </c>
      <c r="CA88" s="50">
        <v>46960.2231161073</v>
      </c>
      <c r="CB88" s="721">
        <f t="shared" si="185"/>
        <v>0.510340628837902</v>
      </c>
      <c r="CC88" s="41">
        <v>53934.2534476046</v>
      </c>
      <c r="CD88" s="721">
        <f t="shared" si="186"/>
        <v>0.239358768918963</v>
      </c>
      <c r="CE88" s="41">
        <v>53690.6416681834</v>
      </c>
      <c r="CF88" s="721">
        <f t="shared" si="187"/>
        <v>0.319421438979818</v>
      </c>
      <c r="CG88" s="41">
        <v>52420.7725755587</v>
      </c>
      <c r="CH88" s="721">
        <f t="shared" si="188"/>
        <v>0.186400380439433</v>
      </c>
      <c r="CI88" s="50">
        <v>55307.6510724458</v>
      </c>
      <c r="CJ88" s="721">
        <f t="shared" si="189"/>
        <v>0.262684827510097</v>
      </c>
      <c r="CK88" s="702">
        <v>56136.9349008363</v>
      </c>
      <c r="CL88" s="721">
        <f t="shared" si="190"/>
        <v>0.221350878397517</v>
      </c>
      <c r="CM88" s="41">
        <v>62674.6957655144</v>
      </c>
      <c r="CN88" s="721">
        <f t="shared" si="191"/>
        <v>0.272031941010904</v>
      </c>
      <c r="CO88" s="41">
        <v>59698.2814746687</v>
      </c>
      <c r="CP88" s="721">
        <f t="shared" si="192"/>
        <v>0.215557022016047</v>
      </c>
      <c r="CQ88" s="41">
        <v>56157.4810297216</v>
      </c>
      <c r="CR88" s="721">
        <f t="shared" si="193"/>
        <v>0.0942071724572706</v>
      </c>
      <c r="CS88" s="41">
        <v>61280.424387524</v>
      </c>
      <c r="CT88" s="721">
        <f t="shared" si="194"/>
        <v>0.167134022322864</v>
      </c>
      <c r="CU88" s="41">
        <v>57871.4071643871</v>
      </c>
      <c r="CV88" s="721">
        <f t="shared" si="195"/>
        <v>0.102206600171758</v>
      </c>
      <c r="CW88" s="41">
        <f t="shared" si="196"/>
        <v>657704.205993933</v>
      </c>
      <c r="CX88" s="721">
        <f t="shared" si="197"/>
        <v>0.192090881183168</v>
      </c>
      <c r="CY88" s="721"/>
      <c r="CZ88" s="721">
        <f t="shared" si="198"/>
        <v>-0.055629791360109</v>
      </c>
      <c r="DA88" s="721">
        <f t="shared" si="199"/>
        <v>0.0912245931239519</v>
      </c>
      <c r="DB88" s="721"/>
      <c r="DC88" s="721"/>
      <c r="DD88" s="721"/>
      <c r="DE88" s="721"/>
      <c r="DF88" s="721"/>
      <c r="DG88" s="721"/>
      <c r="DH88" s="721"/>
      <c r="DI88" s="721"/>
      <c r="DJ88" s="721"/>
      <c r="DK88" s="721"/>
      <c r="DL88" s="21"/>
      <c r="DM88" s="745">
        <v>44143.1111770923</v>
      </c>
      <c r="DN88" s="745">
        <v>31092.4716050576</v>
      </c>
      <c r="DO88" s="727">
        <v>43517.8697243971</v>
      </c>
      <c r="DP88" s="727">
        <v>40692.5642421706</v>
      </c>
      <c r="DQ88" s="727">
        <v>44184.7233360988</v>
      </c>
      <c r="DR88" s="727">
        <v>43801.6279814715</v>
      </c>
      <c r="DS88" s="727">
        <v>45962.9872903446</v>
      </c>
      <c r="DT88" s="727">
        <v>49271.3223189237</v>
      </c>
      <c r="DU88" s="727">
        <v>49111.8724941894</v>
      </c>
      <c r="DV88" s="727">
        <v>51322.530543835</v>
      </c>
      <c r="DW88" s="727">
        <v>56117.0829365843</v>
      </c>
      <c r="DX88" s="727">
        <v>52505.0450209325</v>
      </c>
      <c r="DY88" s="728">
        <v>-0.00175344782448583</v>
      </c>
      <c r="DZ88" s="727">
        <f t="shared" si="200"/>
        <v>551723.208671097</v>
      </c>
      <c r="EA88" s="729">
        <f t="shared" si="201"/>
        <v>-0.0530366445140178</v>
      </c>
      <c r="EB88" s="730"/>
      <c r="EC88" s="746">
        <v>57110.7122864004</v>
      </c>
      <c r="ED88" s="737">
        <v>27690.2857013406</v>
      </c>
      <c r="EE88" s="737">
        <v>42449.4622769971</v>
      </c>
      <c r="EF88" s="737">
        <v>46400.7432580398</v>
      </c>
      <c r="EG88" s="737">
        <v>47647.1437372912</v>
      </c>
      <c r="EH88" s="737">
        <v>52265.9618413258</v>
      </c>
      <c r="EI88" s="737">
        <v>48272.1717343698</v>
      </c>
      <c r="EJ88" s="737">
        <v>53125.5734834564</v>
      </c>
      <c r="EK88" s="737">
        <v>52085.5847255428</v>
      </c>
      <c r="EL88" s="737">
        <v>48230.1543204048</v>
      </c>
      <c r="EM88" s="737">
        <v>54748.5450003599</v>
      </c>
      <c r="EN88" s="737">
        <v>52597.2715923801</v>
      </c>
      <c r="EO88" s="717">
        <f t="shared" si="202"/>
        <v>582623.609957909</v>
      </c>
      <c r="EP88" s="36"/>
      <c r="EQ88" s="740">
        <f>SUM(EC88:EN88)</f>
        <v>582623.609957909</v>
      </c>
    </row>
    <row r="89" s="206" customFormat="1" ht="27" customHeight="1" spans="1:147">
      <c r="A89" s="707" t="s">
        <v>106</v>
      </c>
      <c r="B89" s="707" t="s">
        <v>88</v>
      </c>
      <c r="C89" s="35">
        <v>153.338323217112</v>
      </c>
      <c r="D89" s="36">
        <f t="shared" si="146"/>
        <v>0.277073039109096</v>
      </c>
      <c r="E89" s="35">
        <v>93.1973405320512</v>
      </c>
      <c r="F89" s="36">
        <f t="shared" si="147"/>
        <v>-0.120287879595766</v>
      </c>
      <c r="G89" s="35">
        <v>135.728172894441</v>
      </c>
      <c r="H89" s="36">
        <f t="shared" si="148"/>
        <v>-0.00355992367704383</v>
      </c>
      <c r="I89" s="35">
        <v>131.750975817781</v>
      </c>
      <c r="J89" s="36">
        <f t="shared" si="149"/>
        <v>0.0238790894128407</v>
      </c>
      <c r="K89" s="35">
        <v>145.566391550472</v>
      </c>
      <c r="L89" s="36">
        <f t="shared" si="150"/>
        <v>0.0777227214569374</v>
      </c>
      <c r="M89" s="35">
        <v>132.519799807085</v>
      </c>
      <c r="N89" s="36">
        <f t="shared" si="151"/>
        <v>0.143065101711058</v>
      </c>
      <c r="O89" s="35">
        <v>126.551996214032</v>
      </c>
      <c r="P89" s="36">
        <f t="shared" si="152"/>
        <v>0.0678814612194878</v>
      </c>
      <c r="Q89" s="127"/>
      <c r="R89" s="127"/>
      <c r="S89" s="35">
        <f t="shared" si="153"/>
        <v>918.653000032974</v>
      </c>
      <c r="T89" s="36">
        <f t="shared" si="154"/>
        <v>-0.0647267966411943</v>
      </c>
      <c r="U89" s="36"/>
      <c r="V89" s="35">
        <v>120.070127957664</v>
      </c>
      <c r="W89" s="36">
        <f t="shared" si="155"/>
        <v>-0.110379754246534</v>
      </c>
      <c r="X89" s="35">
        <v>105.940725801557</v>
      </c>
      <c r="Y89" s="36">
        <f t="shared" si="156"/>
        <v>0.645393161243867</v>
      </c>
      <c r="Z89" s="35">
        <v>136.213081066854</v>
      </c>
      <c r="AA89" s="36">
        <f t="shared" si="157"/>
        <v>0.223622547670052</v>
      </c>
      <c r="AB89" s="35">
        <v>128.678256231735</v>
      </c>
      <c r="AC89" s="36">
        <f t="shared" si="158"/>
        <v>0.0948084920907146</v>
      </c>
      <c r="AD89" s="35">
        <v>135.068500136738</v>
      </c>
      <c r="AE89" s="36">
        <f t="shared" si="159"/>
        <v>0.0535192170135976</v>
      </c>
      <c r="AF89" s="35">
        <v>115.933729066451</v>
      </c>
      <c r="AG89" s="36">
        <f t="shared" si="160"/>
        <v>0.0464304875215404</v>
      </c>
      <c r="AH89" s="35">
        <v>118.507531790573</v>
      </c>
      <c r="AI89" s="36">
        <f t="shared" si="161"/>
        <v>0.0459365070082829</v>
      </c>
      <c r="AJ89" s="35">
        <v>121.817621867424</v>
      </c>
      <c r="AK89" s="36">
        <f t="shared" si="162"/>
        <v>0.0138113704028353</v>
      </c>
      <c r="AL89" s="35">
        <v>136.225621674919</v>
      </c>
      <c r="AM89" s="36">
        <f t="shared" si="163"/>
        <v>0.0310026449198963</v>
      </c>
      <c r="AN89" s="35">
        <v>129.4776504697</v>
      </c>
      <c r="AO89" s="36">
        <f t="shared" si="164"/>
        <v>-0.00709234841517981</v>
      </c>
      <c r="AP89" s="35">
        <v>137.733331891064</v>
      </c>
      <c r="AQ89" s="36">
        <f t="shared" si="165"/>
        <v>0.0347786029020396</v>
      </c>
      <c r="AR89" s="35">
        <v>140.854976487769</v>
      </c>
      <c r="AS89" s="36">
        <f t="shared" si="166"/>
        <v>0.0258287679313807</v>
      </c>
      <c r="AT89" s="35">
        <f t="shared" si="167"/>
        <v>1526.52115444245</v>
      </c>
      <c r="AU89" s="36">
        <f t="shared" si="168"/>
        <v>0.0648088343345816</v>
      </c>
      <c r="AV89" s="36"/>
      <c r="AW89" s="35">
        <f t="shared" si="169"/>
        <v>1296.30205934519</v>
      </c>
      <c r="AX89" s="35">
        <v>134.967845584461</v>
      </c>
      <c r="AY89" s="36">
        <f t="shared" si="170"/>
        <v>0.744909603909982</v>
      </c>
      <c r="AZ89" s="35">
        <v>64.3862684596726</v>
      </c>
      <c r="BA89" s="36">
        <f t="shared" si="171"/>
        <v>-0.303212622724503</v>
      </c>
      <c r="BB89" s="35">
        <v>111.319525229592</v>
      </c>
      <c r="BC89" s="36">
        <f t="shared" si="172"/>
        <v>0.026720785468249</v>
      </c>
      <c r="BD89" s="35">
        <v>117.534945299888</v>
      </c>
      <c r="BE89" s="36">
        <f t="shared" si="173"/>
        <v>0.0822272063935912</v>
      </c>
      <c r="BF89" s="35">
        <v>128.206963817533</v>
      </c>
      <c r="BG89" s="36">
        <f t="shared" si="174"/>
        <v>0.129271340469375</v>
      </c>
      <c r="BH89" s="35">
        <v>110.789708871192</v>
      </c>
      <c r="BI89" s="36">
        <f t="shared" si="175"/>
        <v>0.0298434496518547</v>
      </c>
      <c r="BJ89" s="35">
        <v>113.302797059396</v>
      </c>
      <c r="BK89" s="36">
        <f t="shared" si="176"/>
        <v>0.0828191463466417</v>
      </c>
      <c r="BL89" s="35">
        <v>120.158074197787</v>
      </c>
      <c r="BM89" s="36">
        <f t="shared" si="177"/>
        <v>0.0545758765634516</v>
      </c>
      <c r="BN89" s="35">
        <v>132.12926498894</v>
      </c>
      <c r="BO89" s="36">
        <f t="shared" si="178"/>
        <v>0.0744477249511732</v>
      </c>
      <c r="BP89" s="35">
        <v>130.40251050844</v>
      </c>
      <c r="BQ89" s="36">
        <f t="shared" si="179"/>
        <v>0.0466530466760524</v>
      </c>
      <c r="BR89" s="35">
        <v>133.10415532829</v>
      </c>
      <c r="BS89" s="36">
        <f t="shared" si="180"/>
        <v>-0.0125383264868545</v>
      </c>
      <c r="BT89" s="35">
        <v>137.308467934476</v>
      </c>
      <c r="BU89" s="36">
        <f t="shared" si="181"/>
        <v>0.0712030076230785</v>
      </c>
      <c r="BV89" s="35">
        <f t="shared" si="182"/>
        <v>1433.61052727967</v>
      </c>
      <c r="BW89" s="36">
        <f t="shared" si="183"/>
        <v>0.0722532402460481</v>
      </c>
      <c r="BX89" s="36"/>
      <c r="BY89" s="50">
        <v>77.3494771775145</v>
      </c>
      <c r="BZ89" s="721">
        <f t="shared" si="184"/>
        <v>-0.16551776407788</v>
      </c>
      <c r="CA89" s="50">
        <v>92.4044702293961</v>
      </c>
      <c r="CB89" s="721">
        <f t="shared" si="185"/>
        <v>0.46426162838739</v>
      </c>
      <c r="CC89" s="41">
        <v>108.422393707383</v>
      </c>
      <c r="CD89" s="721">
        <f t="shared" si="186"/>
        <v>0.144649065278319</v>
      </c>
      <c r="CE89" s="41">
        <v>108.604685416809</v>
      </c>
      <c r="CF89" s="721">
        <f t="shared" si="187"/>
        <v>0.207356008472177</v>
      </c>
      <c r="CG89" s="41">
        <v>113.530698268004</v>
      </c>
      <c r="CH89" s="721">
        <f t="shared" si="188"/>
        <v>0.138888100854071</v>
      </c>
      <c r="CI89" s="702">
        <v>107.579175173319</v>
      </c>
      <c r="CJ89" s="721">
        <f t="shared" si="189"/>
        <v>0.213808048916938</v>
      </c>
      <c r="CK89" s="702">
        <v>104.636861512536</v>
      </c>
      <c r="CL89" s="721">
        <f t="shared" si="190"/>
        <v>0.209897800334456</v>
      </c>
      <c r="CM89" s="41">
        <v>113.939714408551</v>
      </c>
      <c r="CN89" s="721">
        <f t="shared" si="191"/>
        <v>0.248948457425413</v>
      </c>
      <c r="CO89" s="41">
        <v>122.974121421258</v>
      </c>
      <c r="CP89" s="721">
        <f t="shared" si="192"/>
        <v>0.143631310291473</v>
      </c>
      <c r="CQ89" s="41">
        <v>124.590007092198</v>
      </c>
      <c r="CR89" s="721">
        <f t="shared" si="193"/>
        <v>0.280913343618866</v>
      </c>
      <c r="CS89" s="41">
        <v>134.794249638812</v>
      </c>
      <c r="CT89" s="721">
        <f t="shared" si="194"/>
        <v>0.181646321197972</v>
      </c>
      <c r="CU89" s="41">
        <v>128.181555650365</v>
      </c>
      <c r="CV89" s="721">
        <f t="shared" si="195"/>
        <v>0.123677486877561</v>
      </c>
      <c r="CW89" s="41">
        <f t="shared" si="196"/>
        <v>1337.00740969615</v>
      </c>
      <c r="CX89" s="721">
        <f t="shared" si="197"/>
        <v>0.171120134710659</v>
      </c>
      <c r="CY89" s="721"/>
      <c r="CZ89" s="721">
        <f t="shared" si="198"/>
        <v>-0.0490576861117299</v>
      </c>
      <c r="DA89" s="721">
        <f t="shared" si="199"/>
        <v>0.0819025761758145</v>
      </c>
      <c r="DB89" s="721"/>
      <c r="DC89" s="721"/>
      <c r="DD89" s="721"/>
      <c r="DE89" s="721"/>
      <c r="DF89" s="721"/>
      <c r="DG89" s="721"/>
      <c r="DH89" s="721"/>
      <c r="DI89" s="721"/>
      <c r="DJ89" s="721"/>
      <c r="DK89" s="721"/>
      <c r="DL89" s="222"/>
      <c r="DM89" s="742">
        <v>92.6915802971429</v>
      </c>
      <c r="DN89" s="742">
        <v>63.106529897367</v>
      </c>
      <c r="DO89" s="731">
        <v>94.7210782730341</v>
      </c>
      <c r="DP89" s="731">
        <v>89.9524950840643</v>
      </c>
      <c r="DQ89" s="731">
        <v>99.6855601378796</v>
      </c>
      <c r="DR89" s="731">
        <v>88.6294791580186</v>
      </c>
      <c r="DS89" s="731">
        <v>86.4840497136294</v>
      </c>
      <c r="DT89" s="731">
        <v>91.2285160617651</v>
      </c>
      <c r="DU89" s="731">
        <v>107.529516125189</v>
      </c>
      <c r="DV89" s="731">
        <v>97.2665385311729</v>
      </c>
      <c r="DW89" s="731">
        <v>116.279779726367</v>
      </c>
      <c r="DX89" s="731">
        <v>114.073261364835</v>
      </c>
      <c r="DY89" s="732">
        <v>-0.0630528143751534</v>
      </c>
      <c r="DZ89" s="731">
        <f t="shared" si="200"/>
        <v>1141.64838437047</v>
      </c>
      <c r="EA89" s="733">
        <f t="shared" si="201"/>
        <v>-0.0780734403747759</v>
      </c>
      <c r="EB89" s="743"/>
      <c r="EC89" s="199">
        <v>128.049599187841</v>
      </c>
      <c r="ED89" s="737">
        <v>47.992204066781</v>
      </c>
      <c r="EE89" s="737">
        <v>84.9613718984492</v>
      </c>
      <c r="EF89" s="737">
        <v>106.951993590343</v>
      </c>
      <c r="EG89" s="737">
        <v>113.256092039803</v>
      </c>
      <c r="EH89" s="737">
        <v>116.207582675196</v>
      </c>
      <c r="EI89" s="737">
        <v>94.1312977730636</v>
      </c>
      <c r="EJ89" s="737">
        <v>92.0909609761685</v>
      </c>
      <c r="EK89" s="737">
        <v>111.06551377934</v>
      </c>
      <c r="EL89" s="737">
        <v>101.164744465597</v>
      </c>
      <c r="EM89" s="737">
        <v>120.707690813661</v>
      </c>
      <c r="EN89" s="737">
        <v>121.749937579203</v>
      </c>
      <c r="EO89" s="724">
        <f t="shared" si="202"/>
        <v>1238.32898884545</v>
      </c>
      <c r="EP89" s="36"/>
      <c r="EQ89" s="740">
        <f>SUM(EC89:EN89)</f>
        <v>1238.32898884545</v>
      </c>
    </row>
    <row r="90" ht="27" customHeight="1" spans="1:147">
      <c r="A90" s="45"/>
      <c r="B90" s="707" t="s">
        <v>89</v>
      </c>
      <c r="C90" s="35">
        <v>12.1635</v>
      </c>
      <c r="D90" s="36">
        <f t="shared" si="146"/>
        <v>4.86814936318024</v>
      </c>
      <c r="E90" s="35">
        <v>6.8126</v>
      </c>
      <c r="F90" s="36">
        <f t="shared" si="147"/>
        <v>4.56085217533263</v>
      </c>
      <c r="G90" s="35">
        <v>14.5009</v>
      </c>
      <c r="H90" s="36">
        <f t="shared" si="148"/>
        <v>1.72230461636661</v>
      </c>
      <c r="I90" s="35">
        <v>14.7085</v>
      </c>
      <c r="J90" s="36">
        <f t="shared" si="149"/>
        <v>5.52666844160454</v>
      </c>
      <c r="K90" s="35">
        <v>26.6761</v>
      </c>
      <c r="L90" s="36">
        <f t="shared" si="150"/>
        <v>10.5485951772804</v>
      </c>
      <c r="M90" s="35">
        <v>23.3961</v>
      </c>
      <c r="N90" s="36">
        <f t="shared" si="151"/>
        <v>6.89688459850812</v>
      </c>
      <c r="O90" s="35">
        <v>28.1597</v>
      </c>
      <c r="P90" s="36">
        <f t="shared" si="152"/>
        <v>7.90960577105613</v>
      </c>
      <c r="Q90" s="127"/>
      <c r="R90" s="127"/>
      <c r="S90" s="35">
        <f t="shared" si="153"/>
        <v>126.4174</v>
      </c>
      <c r="T90" s="36">
        <f t="shared" si="154"/>
        <v>4.52620213324008</v>
      </c>
      <c r="U90" s="36"/>
      <c r="V90" s="35">
        <v>2.0728</v>
      </c>
      <c r="W90" s="36">
        <f t="shared" si="155"/>
        <v>-0.303728585824656</v>
      </c>
      <c r="X90" s="35">
        <v>1.2251</v>
      </c>
      <c r="Y90" s="36">
        <f t="shared" si="156"/>
        <v>-0.381418833627872</v>
      </c>
      <c r="Z90" s="35">
        <v>5.3267</v>
      </c>
      <c r="AA90" s="36">
        <f t="shared" si="157"/>
        <v>1.38192550194518</v>
      </c>
      <c r="AB90" s="35">
        <v>2.2536</v>
      </c>
      <c r="AC90" s="36">
        <f t="shared" si="158"/>
        <v>0.130417335473515</v>
      </c>
      <c r="AD90" s="35">
        <v>2.3099</v>
      </c>
      <c r="AE90" s="36">
        <f t="shared" si="159"/>
        <v>0.116109393119443</v>
      </c>
      <c r="AF90" s="35">
        <v>2.9627</v>
      </c>
      <c r="AG90" s="36">
        <f t="shared" si="160"/>
        <v>0.389308323563892</v>
      </c>
      <c r="AH90" s="35">
        <v>3.1606</v>
      </c>
      <c r="AI90" s="36">
        <f t="shared" si="161"/>
        <v>0.601114488348531</v>
      </c>
      <c r="AJ90" s="35">
        <v>3.5646</v>
      </c>
      <c r="AK90" s="36">
        <f t="shared" si="162"/>
        <v>0.754750418430639</v>
      </c>
      <c r="AL90" s="35">
        <v>1.963</v>
      </c>
      <c r="AM90" s="36">
        <f t="shared" si="163"/>
        <v>-0.000152803952528924</v>
      </c>
      <c r="AN90" s="35">
        <v>1.2035</v>
      </c>
      <c r="AO90" s="36">
        <f t="shared" si="164"/>
        <v>-0.368009242241244</v>
      </c>
      <c r="AP90" s="35">
        <v>1.2725</v>
      </c>
      <c r="AQ90" s="36">
        <f t="shared" si="165"/>
        <v>-0.372472630436927</v>
      </c>
      <c r="AR90" s="35">
        <v>1.76</v>
      </c>
      <c r="AS90" s="36">
        <f t="shared" si="166"/>
        <v>-0.176916241874386</v>
      </c>
      <c r="AT90" s="35">
        <f t="shared" si="167"/>
        <v>29.075</v>
      </c>
      <c r="AU90" s="36">
        <f t="shared" si="168"/>
        <v>0.143397591688099</v>
      </c>
      <c r="AV90" s="36"/>
      <c r="AW90" s="35">
        <f t="shared" si="169"/>
        <v>23.2903</v>
      </c>
      <c r="AX90" s="35">
        <v>2.977</v>
      </c>
      <c r="AY90" s="36">
        <f t="shared" si="170"/>
        <v>2.46162790697674</v>
      </c>
      <c r="AZ90" s="35">
        <v>1.9805</v>
      </c>
      <c r="BA90" s="36">
        <f t="shared" si="171"/>
        <v>1.25056818181818</v>
      </c>
      <c r="BB90" s="35">
        <v>2.2363</v>
      </c>
      <c r="BC90" s="36">
        <f t="shared" si="172"/>
        <v>1.16067632850242</v>
      </c>
      <c r="BD90" s="35">
        <v>1.9936</v>
      </c>
      <c r="BE90" s="36">
        <f t="shared" si="173"/>
        <v>0.832352941176471</v>
      </c>
      <c r="BF90" s="35">
        <v>2.0696</v>
      </c>
      <c r="BG90" s="36">
        <f t="shared" si="174"/>
        <v>0.886599817684594</v>
      </c>
      <c r="BH90" s="35">
        <v>2.1325</v>
      </c>
      <c r="BI90" s="36">
        <f t="shared" si="175"/>
        <v>0.794882585640939</v>
      </c>
      <c r="BJ90" s="35">
        <v>1.974</v>
      </c>
      <c r="BK90" s="36">
        <f t="shared" si="176"/>
        <v>0.123697842545682</v>
      </c>
      <c r="BL90" s="35">
        <v>2.0314</v>
      </c>
      <c r="BM90" s="36">
        <f t="shared" si="177"/>
        <v>0.379183922873243</v>
      </c>
      <c r="BN90" s="35">
        <v>1.9633</v>
      </c>
      <c r="BO90" s="36">
        <f t="shared" si="178"/>
        <v>0.266972121837894</v>
      </c>
      <c r="BP90" s="35">
        <v>1.9043</v>
      </c>
      <c r="BQ90" s="36">
        <f t="shared" si="179"/>
        <v>0.0458589630931459</v>
      </c>
      <c r="BR90" s="35">
        <v>2.0278</v>
      </c>
      <c r="BS90" s="36">
        <f t="shared" si="180"/>
        <v>0.560206201431099</v>
      </c>
      <c r="BT90" s="35">
        <v>2.1383</v>
      </c>
      <c r="BU90" s="36">
        <f t="shared" si="181"/>
        <v>0.424298940917871</v>
      </c>
      <c r="BV90" s="35">
        <f t="shared" si="182"/>
        <v>25.4286</v>
      </c>
      <c r="BW90" s="36">
        <f t="shared" si="183"/>
        <v>0.635374394659498</v>
      </c>
      <c r="BX90" s="36"/>
      <c r="BY90" s="50">
        <v>0.86</v>
      </c>
      <c r="BZ90" s="721" t="e">
        <f t="shared" si="184"/>
        <v>#DIV/0!</v>
      </c>
      <c r="CA90" s="50">
        <v>0.88</v>
      </c>
      <c r="CB90" s="721" t="e">
        <f t="shared" si="185"/>
        <v>#DIV/0!</v>
      </c>
      <c r="CC90" s="41">
        <v>1.035</v>
      </c>
      <c r="CD90" s="721" t="e">
        <f t="shared" si="186"/>
        <v>#DIV/0!</v>
      </c>
      <c r="CE90" s="41">
        <v>1.088</v>
      </c>
      <c r="CF90" s="721" t="e">
        <f t="shared" si="187"/>
        <v>#DIV/0!</v>
      </c>
      <c r="CG90" s="41">
        <v>1.097</v>
      </c>
      <c r="CH90" s="721" t="e">
        <f t="shared" si="188"/>
        <v>#DIV/0!</v>
      </c>
      <c r="CI90" s="702">
        <v>1.1881</v>
      </c>
      <c r="CJ90" s="721" t="e">
        <f t="shared" si="189"/>
        <v>#DIV/0!</v>
      </c>
      <c r="CK90" s="702">
        <v>1.7567</v>
      </c>
      <c r="CL90" s="721" t="e">
        <f t="shared" si="190"/>
        <v>#DIV/0!</v>
      </c>
      <c r="CM90" s="41">
        <v>1.4729</v>
      </c>
      <c r="CN90" s="721" t="e">
        <f t="shared" si="191"/>
        <v>#DIV/0!</v>
      </c>
      <c r="CO90" s="41">
        <v>1.5496</v>
      </c>
      <c r="CP90" s="721" t="e">
        <f t="shared" si="192"/>
        <v>#DIV/0!</v>
      </c>
      <c r="CQ90" s="41">
        <v>1.8208</v>
      </c>
      <c r="CR90" s="721" t="e">
        <f t="shared" si="193"/>
        <v>#DIV/0!</v>
      </c>
      <c r="CS90" s="41">
        <v>1.2997</v>
      </c>
      <c r="CT90" s="721" t="e">
        <f t="shared" si="194"/>
        <v>#DIV/0!</v>
      </c>
      <c r="CU90" s="41">
        <v>1.5013</v>
      </c>
      <c r="CV90" s="721" t="e">
        <f t="shared" si="195"/>
        <v>#DIV/0!</v>
      </c>
      <c r="CW90" s="41">
        <f t="shared" si="196"/>
        <v>15.5491</v>
      </c>
      <c r="CX90" s="721" t="e">
        <f t="shared" si="197"/>
        <v>#DIV/0!</v>
      </c>
      <c r="CY90" s="721"/>
      <c r="CZ90" s="721">
        <f t="shared" si="198"/>
        <v>0.155112718319612</v>
      </c>
      <c r="DA90" s="721">
        <f t="shared" si="199"/>
        <v>-0.286192882249561</v>
      </c>
      <c r="DB90" s="721"/>
      <c r="DC90" s="721"/>
      <c r="DD90" s="721"/>
      <c r="DE90" s="721"/>
      <c r="DF90" s="721"/>
      <c r="DG90" s="721"/>
      <c r="DH90" s="721"/>
      <c r="DI90" s="721"/>
      <c r="DJ90" s="721"/>
      <c r="DK90" s="721"/>
      <c r="DL90" s="735" t="s">
        <v>107</v>
      </c>
      <c r="DM90" s="742"/>
      <c r="DN90" s="742"/>
      <c r="DO90" s="731"/>
      <c r="DP90" s="731"/>
      <c r="DQ90" s="731"/>
      <c r="DR90" s="731"/>
      <c r="DS90" s="731"/>
      <c r="DT90" s="731"/>
      <c r="DU90" s="731"/>
      <c r="DV90" s="731"/>
      <c r="DW90" s="731"/>
      <c r="DX90" s="731"/>
      <c r="DY90" s="732"/>
      <c r="DZ90" s="731"/>
      <c r="EA90" s="733" t="str">
        <f t="shared" si="201"/>
        <v/>
      </c>
      <c r="EB90" s="747"/>
      <c r="EC90" s="199"/>
      <c r="ED90" s="737"/>
      <c r="EE90" s="737"/>
      <c r="EF90" s="737"/>
      <c r="EG90" s="737"/>
      <c r="EH90" s="737"/>
      <c r="EI90" s="737"/>
      <c r="EJ90" s="737"/>
      <c r="EK90" s="737"/>
      <c r="EL90" s="737"/>
      <c r="EM90" s="737"/>
      <c r="EN90" s="737"/>
      <c r="EO90" s="717"/>
      <c r="EP90" s="36"/>
      <c r="EQ90" s="740">
        <f>SUM(EC90:EN90)</f>
        <v>0</v>
      </c>
    </row>
    <row r="91" s="206" customFormat="1" ht="27" customHeight="1" spans="1:147">
      <c r="A91" s="45"/>
      <c r="B91" s="707" t="s">
        <v>90</v>
      </c>
      <c r="C91" s="35">
        <v>141.174823217112</v>
      </c>
      <c r="D91" s="36">
        <f t="shared" si="146"/>
        <v>0.196423899257819</v>
      </c>
      <c r="E91" s="35">
        <v>86.3847405320512</v>
      </c>
      <c r="F91" s="36">
        <f t="shared" si="147"/>
        <v>-0.175053962855974</v>
      </c>
      <c r="G91" s="35">
        <v>121.227272894441</v>
      </c>
      <c r="H91" s="36">
        <f t="shared" si="148"/>
        <v>-0.073797656361813</v>
      </c>
      <c r="I91" s="35">
        <v>117.042475817781</v>
      </c>
      <c r="J91" s="36">
        <f t="shared" si="149"/>
        <v>-0.074211634768115</v>
      </c>
      <c r="K91" s="35">
        <v>118.890291550472</v>
      </c>
      <c r="L91" s="36">
        <f t="shared" si="150"/>
        <v>-0.104462600328581</v>
      </c>
      <c r="M91" s="35">
        <v>109.123699807085</v>
      </c>
      <c r="N91" s="36">
        <f t="shared" si="151"/>
        <v>-0.0340558928351705</v>
      </c>
      <c r="O91" s="35">
        <v>98.392296214032</v>
      </c>
      <c r="P91" s="36">
        <f t="shared" si="152"/>
        <v>-0.146988180035203</v>
      </c>
      <c r="Q91" s="127"/>
      <c r="R91" s="127"/>
      <c r="S91" s="35">
        <f t="shared" si="153"/>
        <v>792.235600032974</v>
      </c>
      <c r="T91" s="36">
        <f t="shared" si="154"/>
        <v>-0.174198521201457</v>
      </c>
      <c r="U91" s="36"/>
      <c r="V91" s="35">
        <v>117.997327957664</v>
      </c>
      <c r="W91" s="36">
        <f t="shared" si="155"/>
        <v>-0.10601884975305</v>
      </c>
      <c r="X91" s="35">
        <v>104.715625801557</v>
      </c>
      <c r="Y91" s="36">
        <f t="shared" si="156"/>
        <v>0.677979910931239</v>
      </c>
      <c r="Z91" s="35">
        <v>130.886381066854</v>
      </c>
      <c r="AA91" s="36">
        <f t="shared" si="157"/>
        <v>0.199876340210623</v>
      </c>
      <c r="AB91" s="35">
        <v>126.424656231735</v>
      </c>
      <c r="AC91" s="36">
        <f t="shared" si="158"/>
        <v>0.0941940818120071</v>
      </c>
      <c r="AD91" s="35">
        <v>132.758600136738</v>
      </c>
      <c r="AE91" s="36">
        <f t="shared" si="159"/>
        <v>0.0524922681021234</v>
      </c>
      <c r="AF91" s="35">
        <v>112.971029066451</v>
      </c>
      <c r="AG91" s="36">
        <f t="shared" si="160"/>
        <v>0.0397011872481727</v>
      </c>
      <c r="AH91" s="35">
        <v>115.346931790573</v>
      </c>
      <c r="AI91" s="36">
        <f t="shared" si="161"/>
        <v>0.0360925011076267</v>
      </c>
      <c r="AJ91" s="35">
        <v>118.253021867424</v>
      </c>
      <c r="AK91" s="36">
        <f t="shared" si="162"/>
        <v>0.00106959474221258</v>
      </c>
      <c r="AL91" s="35">
        <v>134.262621674919</v>
      </c>
      <c r="AM91" s="36">
        <f t="shared" si="163"/>
        <v>0.0314725641708804</v>
      </c>
      <c r="AN91" s="35">
        <v>128.2741504697</v>
      </c>
      <c r="AO91" s="36">
        <f t="shared" si="164"/>
        <v>-0.00174368217155274</v>
      </c>
      <c r="AP91" s="35">
        <v>136.460831891064</v>
      </c>
      <c r="AQ91" s="36">
        <f t="shared" si="165"/>
        <v>0.0410789310496786</v>
      </c>
      <c r="AR91" s="35">
        <v>139.094976487769</v>
      </c>
      <c r="AS91" s="36">
        <f t="shared" si="166"/>
        <v>0.029036055908398</v>
      </c>
      <c r="AT91" s="35">
        <f t="shared" si="167"/>
        <v>1497.44615444245</v>
      </c>
      <c r="AU91" s="36">
        <f t="shared" si="168"/>
        <v>0.0633896980450681</v>
      </c>
      <c r="AV91" s="36"/>
      <c r="AW91" s="35">
        <f t="shared" si="169"/>
        <v>1273.01175934519</v>
      </c>
      <c r="AX91" s="35">
        <v>131.990845584461</v>
      </c>
      <c r="AY91" s="36">
        <f t="shared" si="170"/>
        <v>0.725607893464098</v>
      </c>
      <c r="AZ91" s="35">
        <v>62.4057684596726</v>
      </c>
      <c r="BA91" s="36">
        <f t="shared" si="171"/>
        <v>-0.318152093060366</v>
      </c>
      <c r="BB91" s="35">
        <v>109.083225229592</v>
      </c>
      <c r="BC91" s="36">
        <f t="shared" si="172"/>
        <v>0.0157917187824665</v>
      </c>
      <c r="BD91" s="35">
        <v>115.541345299888</v>
      </c>
      <c r="BE91" s="36">
        <f t="shared" si="173"/>
        <v>0.0746364143571749</v>
      </c>
      <c r="BF91" s="35">
        <v>126.137363817533</v>
      </c>
      <c r="BG91" s="36">
        <f t="shared" si="174"/>
        <v>0.121882191554921</v>
      </c>
      <c r="BH91" s="35">
        <v>108.657208871192</v>
      </c>
      <c r="BI91" s="36">
        <f t="shared" si="175"/>
        <v>0.0213000356860884</v>
      </c>
      <c r="BJ91" s="35">
        <v>111.328797059396</v>
      </c>
      <c r="BK91" s="36">
        <f t="shared" si="176"/>
        <v>0.0821211341686172</v>
      </c>
      <c r="BL91" s="35">
        <v>118.126674197787</v>
      </c>
      <c r="BM91" s="36">
        <f t="shared" si="177"/>
        <v>0.0503247097288253</v>
      </c>
      <c r="BN91" s="35">
        <v>130.16596498894</v>
      </c>
      <c r="BO91" s="36">
        <f t="shared" si="178"/>
        <v>0.0719907599005913</v>
      </c>
      <c r="BP91" s="35">
        <v>128.49821050844</v>
      </c>
      <c r="BQ91" s="36">
        <f t="shared" si="179"/>
        <v>0.0466648237936373</v>
      </c>
      <c r="BR91" s="35">
        <v>131.07635532829</v>
      </c>
      <c r="BS91" s="36">
        <f t="shared" si="180"/>
        <v>-0.0181145546171343</v>
      </c>
      <c r="BT91" s="35">
        <v>135.170167934476</v>
      </c>
      <c r="BU91" s="36">
        <f t="shared" si="181"/>
        <v>0.0670184334608781</v>
      </c>
      <c r="BV91" s="35">
        <f t="shared" si="182"/>
        <v>1408.18192727967</v>
      </c>
      <c r="BW91" s="36">
        <f t="shared" si="183"/>
        <v>0.0656272066603927</v>
      </c>
      <c r="BX91" s="36"/>
      <c r="BY91" s="50">
        <v>76.4894771775145</v>
      </c>
      <c r="BZ91" s="721">
        <f t="shared" si="184"/>
        <v>-0.174795845185604</v>
      </c>
      <c r="CA91" s="50">
        <v>91.5244702293961</v>
      </c>
      <c r="CB91" s="721">
        <f t="shared" si="185"/>
        <v>0.450316954176477</v>
      </c>
      <c r="CC91" s="41">
        <v>107.387393707383</v>
      </c>
      <c r="CD91" s="721">
        <f t="shared" si="186"/>
        <v>0.133722247099407</v>
      </c>
      <c r="CE91" s="41">
        <v>107.516685416809</v>
      </c>
      <c r="CF91" s="721">
        <f t="shared" si="187"/>
        <v>0.195260735306233</v>
      </c>
      <c r="CG91" s="41">
        <v>112.433698268004</v>
      </c>
      <c r="CH91" s="721">
        <f t="shared" si="188"/>
        <v>0.127883497996017</v>
      </c>
      <c r="CI91" s="702">
        <v>106.391075173319</v>
      </c>
      <c r="CJ91" s="721">
        <f t="shared" si="189"/>
        <v>0.20040280258934</v>
      </c>
      <c r="CK91" s="702">
        <v>102.880161512536</v>
      </c>
      <c r="CL91" s="721">
        <f t="shared" si="190"/>
        <v>0.189585384278353</v>
      </c>
      <c r="CM91" s="41">
        <v>112.466814408551</v>
      </c>
      <c r="CN91" s="721">
        <f t="shared" si="191"/>
        <v>0.232803286336553</v>
      </c>
      <c r="CO91" s="41">
        <v>121.424521421258</v>
      </c>
      <c r="CP91" s="721">
        <f t="shared" si="192"/>
        <v>0.129220383358668</v>
      </c>
      <c r="CQ91" s="41">
        <v>122.769207092198</v>
      </c>
      <c r="CR91" s="721">
        <f t="shared" si="193"/>
        <v>0.262193647950695</v>
      </c>
      <c r="CS91" s="41">
        <v>133.494549638812</v>
      </c>
      <c r="CT91" s="721">
        <f t="shared" si="194"/>
        <v>0.170252765999762</v>
      </c>
      <c r="CU91" s="41">
        <v>126.680255650365</v>
      </c>
      <c r="CV91" s="721">
        <f t="shared" si="195"/>
        <v>0.110516646361233</v>
      </c>
      <c r="CW91" s="41">
        <f t="shared" si="196"/>
        <v>1321.45830969615</v>
      </c>
      <c r="CX91" s="721">
        <f t="shared" si="197"/>
        <v>0.157500266971281</v>
      </c>
      <c r="CY91" s="721"/>
      <c r="CZ91" s="721">
        <f t="shared" si="198"/>
        <v>-0.0510454846799665</v>
      </c>
      <c r="DA91" s="721">
        <f t="shared" si="199"/>
        <v>0.0873618295714773</v>
      </c>
      <c r="DB91" s="721"/>
      <c r="DC91" s="721"/>
      <c r="DD91" s="721"/>
      <c r="DE91" s="721"/>
      <c r="DF91" s="721"/>
      <c r="DG91" s="721"/>
      <c r="DH91" s="721"/>
      <c r="DI91" s="721"/>
      <c r="DJ91" s="721"/>
      <c r="DK91" s="721"/>
      <c r="DL91" s="206"/>
      <c r="DM91" s="742">
        <v>92.6915802971429</v>
      </c>
      <c r="DN91" s="742">
        <v>63.106529897367</v>
      </c>
      <c r="DO91" s="731">
        <v>94.7210782730341</v>
      </c>
      <c r="DP91" s="731">
        <v>89.9524950840643</v>
      </c>
      <c r="DQ91" s="731">
        <v>99.6855601378796</v>
      </c>
      <c r="DR91" s="731">
        <v>88.6294791580186</v>
      </c>
      <c r="DS91" s="731">
        <v>86.4840497136294</v>
      </c>
      <c r="DT91" s="731">
        <v>91.2285160617651</v>
      </c>
      <c r="DU91" s="731">
        <v>107.529516125189</v>
      </c>
      <c r="DV91" s="731">
        <v>97.2665385311729</v>
      </c>
      <c r="DW91" s="731">
        <v>116.279779726367</v>
      </c>
      <c r="DX91" s="731">
        <v>114.073261364835</v>
      </c>
      <c r="DY91" s="732">
        <v>-0.0630528143751534</v>
      </c>
      <c r="DZ91" s="731">
        <f t="shared" si="200"/>
        <v>1141.64838437047</v>
      </c>
      <c r="EA91" s="733">
        <f t="shared" si="201"/>
        <v>-0.0780734403747759</v>
      </c>
      <c r="EB91" s="733"/>
      <c r="EC91" s="199">
        <v>128.049599187841</v>
      </c>
      <c r="ED91" s="737">
        <v>47.992204066781</v>
      </c>
      <c r="EE91" s="737">
        <v>84.9613718984492</v>
      </c>
      <c r="EF91" s="737">
        <v>106.951993590343</v>
      </c>
      <c r="EG91" s="737">
        <v>113.256092039803</v>
      </c>
      <c r="EH91" s="737">
        <v>116.207582675196</v>
      </c>
      <c r="EI91" s="737">
        <v>94.1312977730636</v>
      </c>
      <c r="EJ91" s="737">
        <v>92.0909609761685</v>
      </c>
      <c r="EK91" s="737">
        <v>111.06551377934</v>
      </c>
      <c r="EL91" s="737">
        <v>101.164744465597</v>
      </c>
      <c r="EM91" s="737">
        <v>120.707690813661</v>
      </c>
      <c r="EN91" s="737">
        <v>121.749937579203</v>
      </c>
      <c r="EO91" s="724">
        <f t="shared" si="202"/>
        <v>1238.32898884545</v>
      </c>
      <c r="EP91" s="36"/>
      <c r="EQ91" s="740">
        <f>SUM(EC91:EN91)</f>
        <v>1238.32898884545</v>
      </c>
    </row>
    <row r="92" ht="27" customHeight="1" spans="1:147">
      <c r="A92" s="45"/>
      <c r="B92" s="707" t="s">
        <v>91</v>
      </c>
      <c r="C92" s="35">
        <f>C93+C94</f>
        <v>19902.8330037323</v>
      </c>
      <c r="D92" s="36">
        <f t="shared" si="146"/>
        <v>0.187145312092363</v>
      </c>
      <c r="E92" s="35">
        <f>E93+E94</f>
        <v>13494.5762074329</v>
      </c>
      <c r="F92" s="36">
        <f t="shared" si="147"/>
        <v>-0.142851637734089</v>
      </c>
      <c r="G92" s="35">
        <f>G93+G94</f>
        <v>18881.2773968239</v>
      </c>
      <c r="H92" s="36">
        <f t="shared" si="148"/>
        <v>-0.0569492215875683</v>
      </c>
      <c r="I92" s="35">
        <f>I93+I94</f>
        <v>17865.1022753339</v>
      </c>
      <c r="J92" s="36">
        <f t="shared" si="149"/>
        <v>-0.0099253012730689</v>
      </c>
      <c r="K92" s="35">
        <f>K93+K94</f>
        <v>19218.9671826004</v>
      </c>
      <c r="L92" s="36">
        <f t="shared" si="150"/>
        <v>-0.00740096295782688</v>
      </c>
      <c r="M92" s="35">
        <f>M93+M94</f>
        <v>17452.2927120018</v>
      </c>
      <c r="N92" s="36">
        <f t="shared" si="151"/>
        <v>0.0168611429087187</v>
      </c>
      <c r="O92" s="35">
        <f>O93+O94</f>
        <v>17130.949578965</v>
      </c>
      <c r="P92" s="36">
        <f t="shared" si="152"/>
        <v>-0.0132539966880462</v>
      </c>
      <c r="Q92" s="127"/>
      <c r="R92" s="127"/>
      <c r="S92" s="35">
        <f t="shared" si="153"/>
        <v>123945.99835689</v>
      </c>
      <c r="T92" s="36">
        <f t="shared" si="154"/>
        <v>-0.130511848031509</v>
      </c>
      <c r="U92" s="36"/>
      <c r="V92" s="35">
        <f>V93+V94</f>
        <v>16765.2879567483</v>
      </c>
      <c r="W92" s="36">
        <f t="shared" si="155"/>
        <v>-0.109942558055625</v>
      </c>
      <c r="X92" s="35">
        <f>X93+X94</f>
        <v>15743.5711266593</v>
      </c>
      <c r="Y92" s="36">
        <f t="shared" si="156"/>
        <v>0.514855283729606</v>
      </c>
      <c r="Z92" s="35">
        <f>Z93+Z94</f>
        <v>20021.4854057057</v>
      </c>
      <c r="AA92" s="36">
        <f t="shared" si="157"/>
        <v>0.195883264327129</v>
      </c>
      <c r="AB92" s="35">
        <f>AB93+AB94</f>
        <v>18044.1963604417</v>
      </c>
      <c r="AC92" s="36">
        <f t="shared" si="158"/>
        <v>0.102166666995282</v>
      </c>
      <c r="AD92" s="35">
        <f>AD93+AD94</f>
        <v>19362.2666004902</v>
      </c>
      <c r="AE92" s="36">
        <f t="shared" si="159"/>
        <v>0.0871054419731623</v>
      </c>
      <c r="AF92" s="35">
        <f>AF93+AF94</f>
        <v>17162.9064928961</v>
      </c>
      <c r="AG92" s="36">
        <f t="shared" si="160"/>
        <v>0.0970286527889348</v>
      </c>
      <c r="AH92" s="35">
        <f>AH93+AH94</f>
        <v>17361.0529168256</v>
      </c>
      <c r="AI92" s="36">
        <f t="shared" si="161"/>
        <v>0.0687503574470634</v>
      </c>
      <c r="AJ92" s="35">
        <f>AJ93+AJ94</f>
        <v>18089.7648252028</v>
      </c>
      <c r="AK92" s="36">
        <f t="shared" si="162"/>
        <v>0.0394425490954939</v>
      </c>
      <c r="AL92" s="35">
        <f>AL93+AL94</f>
        <v>18866.8955669415</v>
      </c>
      <c r="AM92" s="36">
        <f t="shared" si="163"/>
        <v>0.0347887750633991</v>
      </c>
      <c r="AN92" s="35">
        <f>AN93+AN94</f>
        <v>17514.1170415588</v>
      </c>
      <c r="AO92" s="36">
        <f t="shared" si="164"/>
        <v>-0.0247966586579528</v>
      </c>
      <c r="AP92" s="35">
        <f>AP93+AP94</f>
        <v>17776.7579029013</v>
      </c>
      <c r="AQ92" s="36">
        <f t="shared" si="165"/>
        <v>-0.0162223273800557</v>
      </c>
      <c r="AR92" s="35">
        <f>AR93+AR94</f>
        <v>19281.9345922548</v>
      </c>
      <c r="AS92" s="36">
        <f t="shared" si="166"/>
        <v>-0.0322287059762156</v>
      </c>
      <c r="AT92" s="35">
        <f t="shared" si="167"/>
        <v>215990.236788626</v>
      </c>
      <c r="AU92" s="36">
        <f t="shared" si="168"/>
        <v>0.0606896070608931</v>
      </c>
      <c r="AV92" s="36"/>
      <c r="AW92" s="35">
        <f t="shared" si="169"/>
        <v>183707.835670147</v>
      </c>
      <c r="AX92" s="35">
        <f>AX93+AX94</f>
        <v>18836.1864826653</v>
      </c>
      <c r="AY92" s="36">
        <f t="shared" si="170"/>
        <v>0.472126100837083</v>
      </c>
      <c r="AZ92" s="35">
        <f>AZ93+AZ94</f>
        <v>10392.7888662066</v>
      </c>
      <c r="BA92" s="36">
        <f t="shared" si="171"/>
        <v>-0.296219838155516</v>
      </c>
      <c r="BB92" s="35">
        <f>BB93+BB94</f>
        <v>16742.0065176436</v>
      </c>
      <c r="BC92" s="36">
        <f t="shared" si="172"/>
        <v>0.0598715534670466</v>
      </c>
      <c r="BD92" s="35">
        <f>BD93+BD94</f>
        <v>16371.567840673</v>
      </c>
      <c r="BE92" s="36">
        <f t="shared" si="173"/>
        <v>0.0363121262960964</v>
      </c>
      <c r="BF92" s="35">
        <f>BF93+BF94</f>
        <v>17810.8450688523</v>
      </c>
      <c r="BG92" s="36">
        <f t="shared" si="174"/>
        <v>0.090385500978214</v>
      </c>
      <c r="BH92" s="35">
        <f>BH93+BH94</f>
        <v>15644.9026643593</v>
      </c>
      <c r="BI92" s="36">
        <f t="shared" si="175"/>
        <v>0.00225213817998671</v>
      </c>
      <c r="BJ92" s="35">
        <f>BJ93+BJ94</f>
        <v>16244.254606189</v>
      </c>
      <c r="BK92" s="36">
        <f t="shared" si="176"/>
        <v>0.046427705397956</v>
      </c>
      <c r="BL92" s="35">
        <f>BL93+BL94</f>
        <v>17403.3330085864</v>
      </c>
      <c r="BM92" s="36">
        <f t="shared" si="177"/>
        <v>0.00972965537420278</v>
      </c>
      <c r="BN92" s="35">
        <f>BN93+BN94</f>
        <v>18232.6055535204</v>
      </c>
      <c r="BO92" s="36">
        <f t="shared" si="178"/>
        <v>0.036790324485894</v>
      </c>
      <c r="BP92" s="35">
        <f>BP93+BP94</f>
        <v>17959.4514283107</v>
      </c>
      <c r="BQ92" s="36">
        <f t="shared" si="179"/>
        <v>0.0387469795169584</v>
      </c>
      <c r="BR92" s="35">
        <f>BR93+BR94</f>
        <v>18069.8936331409</v>
      </c>
      <c r="BS92" s="36">
        <f t="shared" si="180"/>
        <v>-0.019037012371567</v>
      </c>
      <c r="BT92" s="35">
        <f>BT93+BT94</f>
        <v>19924.0613059359</v>
      </c>
      <c r="BU92" s="36">
        <f t="shared" si="181"/>
        <v>0.0452098544736781</v>
      </c>
      <c r="BV92" s="35">
        <f t="shared" si="182"/>
        <v>203631.896976083</v>
      </c>
      <c r="BW92" s="36">
        <f t="shared" si="183"/>
        <v>0.0377848150195936</v>
      </c>
      <c r="BX92" s="36"/>
      <c r="BY92" s="41">
        <f>BY93+BY94</f>
        <v>12795.2262187014</v>
      </c>
      <c r="BZ92" s="721">
        <f t="shared" si="184"/>
        <v>-0.125293766344515</v>
      </c>
      <c r="CA92" s="41">
        <f>CA93+CA94</f>
        <v>14767.0955074507</v>
      </c>
      <c r="CB92" s="721">
        <f t="shared" si="185"/>
        <v>0.426406108094801</v>
      </c>
      <c r="CC92" s="41">
        <f>SUM(CC93:CC94)</f>
        <v>15796.2598985483</v>
      </c>
      <c r="CD92" s="721">
        <f t="shared" si="186"/>
        <v>0.143656051243179</v>
      </c>
      <c r="CE92" s="41">
        <v>15797.9120626398</v>
      </c>
      <c r="CF92" s="721">
        <f t="shared" si="187"/>
        <v>0.135714149843356</v>
      </c>
      <c r="CG92" s="41">
        <v>16334.4478194856</v>
      </c>
      <c r="CH92" s="721">
        <f t="shared" si="188"/>
        <v>0.137048143439886</v>
      </c>
      <c r="CI92" s="41">
        <f>CI93+CI94</f>
        <v>15609.7473563581</v>
      </c>
      <c r="CJ92" s="721">
        <f t="shared" si="189"/>
        <v>0.200823642361939</v>
      </c>
      <c r="CK92" s="41">
        <f>CK93+CK94</f>
        <v>15523.5326075501</v>
      </c>
      <c r="CL92" s="721">
        <f t="shared" si="190"/>
        <v>0.202671135109938</v>
      </c>
      <c r="CM92" s="41">
        <v>17235.6362081262</v>
      </c>
      <c r="CN92" s="721">
        <f t="shared" si="191"/>
        <v>0.224972989564927</v>
      </c>
      <c r="CO92" s="41">
        <f>SUM(CO93:CO94)</f>
        <v>17585.624714005</v>
      </c>
      <c r="CP92" s="721">
        <f t="shared" si="192"/>
        <v>0.113338350584341</v>
      </c>
      <c r="CQ92" s="41">
        <f>SUM(CQ93:CQ94)</f>
        <v>17289.5342007755</v>
      </c>
      <c r="CR92" s="721">
        <f t="shared" si="193"/>
        <v>0.156692702571868</v>
      </c>
      <c r="CS92" s="41">
        <f>CS93+CS94</f>
        <v>18420.5661793892</v>
      </c>
      <c r="CT92" s="721">
        <f t="shared" si="194"/>
        <v>0.074339349025792</v>
      </c>
      <c r="CU92" s="41">
        <f>CU93+CU94</f>
        <v>19062.2593354411</v>
      </c>
      <c r="CV92" s="721">
        <f t="shared" si="195"/>
        <v>0.11176470288481</v>
      </c>
      <c r="CW92" s="41">
        <f t="shared" si="196"/>
        <v>196217.842108471</v>
      </c>
      <c r="CX92" s="721">
        <f t="shared" si="197"/>
        <v>0.139844675887982</v>
      </c>
      <c r="CY92" s="721"/>
      <c r="CZ92" s="721">
        <f t="shared" si="198"/>
        <v>0.0348356912487247</v>
      </c>
      <c r="DA92" s="721">
        <f t="shared" si="199"/>
        <v>0.0654171457414374</v>
      </c>
      <c r="DB92" s="721"/>
      <c r="DC92" s="721"/>
      <c r="DD92" s="721"/>
      <c r="DE92" s="721"/>
      <c r="DF92" s="721"/>
      <c r="DG92" s="721"/>
      <c r="DH92" s="721"/>
      <c r="DI92" s="721"/>
      <c r="DJ92" s="721"/>
      <c r="DK92" s="721"/>
      <c r="DM92" s="41">
        <v>14628.0267893243</v>
      </c>
      <c r="DN92" s="41">
        <v>10352.6586318216</v>
      </c>
      <c r="DO92" s="41">
        <v>13812.0721534918</v>
      </c>
      <c r="DP92" s="41">
        <v>13910.1129142564</v>
      </c>
      <c r="DQ92" s="41">
        <v>14365.6606923163</v>
      </c>
      <c r="DR92" s="41">
        <v>12999.2005534258</v>
      </c>
      <c r="DS92" s="41">
        <v>12907.5456742637</v>
      </c>
      <c r="DT92" s="41">
        <v>14070.2173476068</v>
      </c>
      <c r="DU92" s="41">
        <v>15795.4001178304</v>
      </c>
      <c r="DV92" s="41">
        <v>14947.3876357418</v>
      </c>
      <c r="DW92" s="41">
        <v>17210.1385596752</v>
      </c>
      <c r="DX92" s="41">
        <v>17145.9475966257</v>
      </c>
      <c r="DY92" s="721" t="e">
        <v>#DIV/0!</v>
      </c>
      <c r="DZ92" s="41">
        <f t="shared" si="200"/>
        <v>172144.36866638</v>
      </c>
      <c r="EA92" s="36">
        <f t="shared" si="201"/>
        <v>-0.0147168902978266</v>
      </c>
      <c r="EB92" s="36"/>
      <c r="EC92" s="737">
        <f t="shared" ref="EC92:EN92" si="206">EC93+EC94</f>
        <v>19118.0798483294</v>
      </c>
      <c r="ED92" s="737">
        <f t="shared" si="206"/>
        <v>9276.47269508471</v>
      </c>
      <c r="EE92" s="737">
        <f t="shared" si="206"/>
        <v>12183.7559973203</v>
      </c>
      <c r="EF92" s="737">
        <f t="shared" si="206"/>
        <v>14521.895744567</v>
      </c>
      <c r="EG92" s="737">
        <f t="shared" si="206"/>
        <v>14668.1175829887</v>
      </c>
      <c r="EH92" s="737">
        <f t="shared" si="206"/>
        <v>14981.3408507164</v>
      </c>
      <c r="EI92" s="737">
        <f t="shared" si="206"/>
        <v>12902.0115010039</v>
      </c>
      <c r="EJ92" s="737">
        <f t="shared" si="206"/>
        <v>14916.1648902654</v>
      </c>
      <c r="EK92" s="737">
        <f t="shared" si="206"/>
        <v>15936.3064903723</v>
      </c>
      <c r="EL92" s="737">
        <f t="shared" si="206"/>
        <v>13727.4829192135</v>
      </c>
      <c r="EM92" s="50">
        <f t="shared" si="206"/>
        <v>16255.0049012728</v>
      </c>
      <c r="EN92" s="50">
        <f t="shared" si="206"/>
        <v>16229.0061460706</v>
      </c>
      <c r="EO92" s="724">
        <f t="shared" si="202"/>
        <v>174715.639567205</v>
      </c>
      <c r="EP92" s="36"/>
      <c r="EQ92" s="738"/>
    </row>
    <row r="93" ht="26.7" customHeight="1" spans="1:147">
      <c r="A93" s="45"/>
      <c r="B93" s="707" t="s">
        <v>92</v>
      </c>
      <c r="C93" s="35">
        <v>847.1938</v>
      </c>
      <c r="D93" s="36">
        <f t="shared" si="146"/>
        <v>-0.229521230155843</v>
      </c>
      <c r="E93" s="35">
        <v>557.4415</v>
      </c>
      <c r="F93" s="36">
        <f t="shared" si="147"/>
        <v>0.0674996782802395</v>
      </c>
      <c r="G93" s="35">
        <v>1518.633</v>
      </c>
      <c r="H93" s="36">
        <f t="shared" si="148"/>
        <v>-0.527912272052656</v>
      </c>
      <c r="I93" s="35">
        <v>1216.1725</v>
      </c>
      <c r="J93" s="36">
        <f t="shared" si="149"/>
        <v>-0.171182829671154</v>
      </c>
      <c r="K93" s="35">
        <v>1457.2367</v>
      </c>
      <c r="L93" s="36">
        <f t="shared" si="150"/>
        <v>-0.0178844056412669</v>
      </c>
      <c r="M93" s="35">
        <v>1456.99</v>
      </c>
      <c r="N93" s="36">
        <f t="shared" si="151"/>
        <v>-0.248477485917625</v>
      </c>
      <c r="O93" s="35">
        <v>1605.3408</v>
      </c>
      <c r="P93" s="36">
        <f t="shared" si="152"/>
        <v>-0.197299217775393</v>
      </c>
      <c r="Q93" s="127"/>
      <c r="R93" s="127"/>
      <c r="S93" s="35">
        <f t="shared" si="153"/>
        <v>8659.0083</v>
      </c>
      <c r="T93" s="36">
        <f t="shared" si="154"/>
        <v>-0.368881569052647</v>
      </c>
      <c r="U93" s="36"/>
      <c r="V93" s="35">
        <v>1099.568</v>
      </c>
      <c r="W93" s="36">
        <f t="shared" si="155"/>
        <v>-0.368503656996305</v>
      </c>
      <c r="X93" s="35">
        <v>522.1936</v>
      </c>
      <c r="Y93" s="36">
        <f t="shared" si="156"/>
        <v>-0.429062683715984</v>
      </c>
      <c r="Z93" s="35">
        <v>3216.8449</v>
      </c>
      <c r="AA93" s="36">
        <f t="shared" si="157"/>
        <v>1.20518830350667</v>
      </c>
      <c r="AB93" s="35">
        <v>1467.3592</v>
      </c>
      <c r="AC93" s="36">
        <f t="shared" si="158"/>
        <v>0.11732088941033</v>
      </c>
      <c r="AD93" s="35">
        <v>1483.7731</v>
      </c>
      <c r="AE93" s="36">
        <f t="shared" si="159"/>
        <v>0.131313421662979</v>
      </c>
      <c r="AF93" s="35">
        <v>1938.7177</v>
      </c>
      <c r="AG93" s="36">
        <f t="shared" si="160"/>
        <v>0.43854763443549</v>
      </c>
      <c r="AH93" s="35">
        <v>1999.9243</v>
      </c>
      <c r="AI93" s="36">
        <f t="shared" si="161"/>
        <v>0.669943191392252</v>
      </c>
      <c r="AJ93" s="35">
        <v>1991.7197</v>
      </c>
      <c r="AK93" s="36">
        <f t="shared" si="162"/>
        <v>0.560238906820496</v>
      </c>
      <c r="AL93" s="35">
        <v>620.873</v>
      </c>
      <c r="AM93" s="36">
        <f t="shared" si="163"/>
        <v>-0.456363312550664</v>
      </c>
      <c r="AN93" s="35">
        <v>799.7849</v>
      </c>
      <c r="AO93" s="36">
        <f t="shared" si="164"/>
        <v>-0.15667054245624</v>
      </c>
      <c r="AP93" s="35">
        <v>434.1173</v>
      </c>
      <c r="AQ93" s="36">
        <f t="shared" si="165"/>
        <v>-0.6360604073731</v>
      </c>
      <c r="AR93" s="35">
        <v>458.8654</v>
      </c>
      <c r="AS93" s="36">
        <f t="shared" si="166"/>
        <v>-0.632114459913888</v>
      </c>
      <c r="AT93" s="35">
        <f t="shared" si="167"/>
        <v>16033.7411</v>
      </c>
      <c r="AU93" s="36">
        <f t="shared" si="168"/>
        <v>0.0624111916681764</v>
      </c>
      <c r="AV93" s="36"/>
      <c r="AW93" s="35">
        <f t="shared" si="169"/>
        <v>13844.5365</v>
      </c>
      <c r="AX93" s="35">
        <v>1741.2104</v>
      </c>
      <c r="AY93" s="36">
        <f t="shared" si="170"/>
        <v>0.872269247311828</v>
      </c>
      <c r="AZ93" s="35">
        <v>914.6251</v>
      </c>
      <c r="BA93" s="36">
        <f t="shared" si="171"/>
        <v>-0.0236709009393681</v>
      </c>
      <c r="BB93" s="35">
        <v>1458.762</v>
      </c>
      <c r="BC93" s="36">
        <f t="shared" si="172"/>
        <v>0.284347596407818</v>
      </c>
      <c r="BD93" s="35">
        <v>1313.2836</v>
      </c>
      <c r="BE93" s="36">
        <f t="shared" si="173"/>
        <v>0.0905642139668368</v>
      </c>
      <c r="BF93" s="35">
        <v>1311.5491</v>
      </c>
      <c r="BG93" s="36">
        <f t="shared" si="174"/>
        <v>0.0859049923761808</v>
      </c>
      <c r="BH93" s="35">
        <v>1347.691</v>
      </c>
      <c r="BI93" s="36">
        <f t="shared" si="175"/>
        <v>-0.134651379102792</v>
      </c>
      <c r="BJ93" s="35">
        <v>1197.6002</v>
      </c>
      <c r="BK93" s="36">
        <f t="shared" si="176"/>
        <v>-0.284521873577378</v>
      </c>
      <c r="BL93" s="35">
        <v>1276.5479</v>
      </c>
      <c r="BM93" s="36">
        <f t="shared" si="177"/>
        <v>-0.152370789369821</v>
      </c>
      <c r="BN93" s="35">
        <v>1142.0734</v>
      </c>
      <c r="BO93" s="36">
        <f t="shared" si="178"/>
        <v>-0.210051292181726</v>
      </c>
      <c r="BP93" s="35">
        <v>948.3659</v>
      </c>
      <c r="BQ93" s="36">
        <f t="shared" si="179"/>
        <v>-0.417785023325657</v>
      </c>
      <c r="BR93" s="35">
        <v>1192.8279</v>
      </c>
      <c r="BS93" s="36">
        <f t="shared" si="180"/>
        <v>0.00189581333592259</v>
      </c>
      <c r="BT93" s="35">
        <v>1247.3048</v>
      </c>
      <c r="BU93" s="36">
        <f t="shared" si="181"/>
        <v>0.00531064406530479</v>
      </c>
      <c r="BV93" s="35">
        <f t="shared" si="182"/>
        <v>15091.8413</v>
      </c>
      <c r="BW93" s="36">
        <f t="shared" si="183"/>
        <v>-0.0361465759296291</v>
      </c>
      <c r="BX93" s="36"/>
      <c r="BY93" s="50">
        <v>930</v>
      </c>
      <c r="BZ93" s="721" t="e">
        <f t="shared" si="184"/>
        <v>#DIV/0!</v>
      </c>
      <c r="CA93" s="50">
        <v>936.8</v>
      </c>
      <c r="CB93" s="721" t="e">
        <f t="shared" si="185"/>
        <v>#DIV/0!</v>
      </c>
      <c r="CC93" s="41">
        <v>1135.8</v>
      </c>
      <c r="CD93" s="721" t="e">
        <f t="shared" si="186"/>
        <v>#DIV/0!</v>
      </c>
      <c r="CE93" s="41">
        <v>1204.224</v>
      </c>
      <c r="CF93" s="721" t="e">
        <f t="shared" si="187"/>
        <v>#DIV/0!</v>
      </c>
      <c r="CG93" s="41">
        <v>1207.7936</v>
      </c>
      <c r="CH93" s="721" t="e">
        <f t="shared" si="188"/>
        <v>#DIV/0!</v>
      </c>
      <c r="CI93" s="702">
        <v>1557.3966</v>
      </c>
      <c r="CJ93" s="721" t="e">
        <f t="shared" si="189"/>
        <v>#DIV/0!</v>
      </c>
      <c r="CK93" s="702">
        <v>1673.846</v>
      </c>
      <c r="CL93" s="721" t="e">
        <f t="shared" si="190"/>
        <v>#DIV/0!</v>
      </c>
      <c r="CM93" s="41">
        <v>1506.0216</v>
      </c>
      <c r="CN93" s="721" t="e">
        <f t="shared" si="191"/>
        <v>#DIV/0!</v>
      </c>
      <c r="CO93" s="702">
        <v>1445.7564</v>
      </c>
      <c r="CP93" s="721" t="e">
        <f t="shared" si="192"/>
        <v>#DIV/0!</v>
      </c>
      <c r="CQ93" s="702">
        <v>1628.893</v>
      </c>
      <c r="CR93" s="721" t="e">
        <f t="shared" si="193"/>
        <v>#DIV/0!</v>
      </c>
      <c r="CS93" s="50">
        <v>1190.5708</v>
      </c>
      <c r="CT93" s="721" t="e">
        <f t="shared" si="194"/>
        <v>#DIV/0!</v>
      </c>
      <c r="CU93" s="50">
        <v>1240.7158</v>
      </c>
      <c r="CV93" s="721" t="e">
        <f t="shared" si="195"/>
        <v>#DIV/0!</v>
      </c>
      <c r="CW93" s="41">
        <f t="shared" si="196"/>
        <v>15657.8178</v>
      </c>
      <c r="CX93" s="721" t="e">
        <f t="shared" si="197"/>
        <v>#DIV/0!</v>
      </c>
      <c r="CY93" s="721"/>
      <c r="CZ93" s="721">
        <f t="shared" si="198"/>
        <v>0.042118452762322</v>
      </c>
      <c r="DA93" s="721">
        <f t="shared" si="199"/>
        <v>-0.269092076643463</v>
      </c>
      <c r="DB93" s="721"/>
      <c r="DC93" s="721"/>
      <c r="DD93" s="721"/>
      <c r="DE93" s="721"/>
      <c r="DF93" s="721"/>
      <c r="DG93" s="721"/>
      <c r="DH93" s="721"/>
      <c r="DI93" s="721"/>
      <c r="DJ93" s="721"/>
      <c r="DK93" s="721"/>
      <c r="DM93" s="50"/>
      <c r="DN93" s="50"/>
      <c r="DO93" s="41"/>
      <c r="DP93" s="41"/>
      <c r="DQ93" s="41"/>
      <c r="DR93" s="41"/>
      <c r="DS93" s="41"/>
      <c r="DT93" s="41"/>
      <c r="DU93" s="41"/>
      <c r="DV93" s="41"/>
      <c r="DW93" s="41"/>
      <c r="DX93" s="41"/>
      <c r="DY93" s="721" t="e">
        <v>#DIV/0!</v>
      </c>
      <c r="DZ93" s="41"/>
      <c r="EA93" s="36" t="str">
        <f t="shared" si="201"/>
        <v/>
      </c>
      <c r="EB93" s="723"/>
      <c r="EC93" s="199"/>
      <c r="ED93" s="737"/>
      <c r="EE93" s="737"/>
      <c r="EF93" s="737"/>
      <c r="EG93" s="737"/>
      <c r="EH93" s="737"/>
      <c r="EI93" s="737"/>
      <c r="EJ93" s="737"/>
      <c r="EK93" s="737"/>
      <c r="EL93" s="737"/>
      <c r="EM93" s="737"/>
      <c r="EN93" s="737"/>
      <c r="EO93" s="717"/>
      <c r="EP93" s="36"/>
      <c r="EQ93" s="740">
        <f>SUM(EC93:EN93)</f>
        <v>0</v>
      </c>
    </row>
    <row r="94" ht="27" customHeight="1" spans="1:147">
      <c r="A94" s="29"/>
      <c r="B94" s="707" t="s">
        <v>93</v>
      </c>
      <c r="C94" s="35">
        <v>19055.6392037323</v>
      </c>
      <c r="D94" s="36">
        <f t="shared" si="146"/>
        <v>0.216390900408234</v>
      </c>
      <c r="E94" s="35">
        <v>12937.1347074329</v>
      </c>
      <c r="F94" s="36">
        <f t="shared" si="147"/>
        <v>-0.150068074668386</v>
      </c>
      <c r="G94" s="35">
        <v>17362.6443968239</v>
      </c>
      <c r="H94" s="36">
        <f t="shared" si="148"/>
        <v>0.0332053453287942</v>
      </c>
      <c r="I94" s="35">
        <v>16648.9297753339</v>
      </c>
      <c r="J94" s="36">
        <f t="shared" si="149"/>
        <v>0.00434899698865587</v>
      </c>
      <c r="K94" s="35">
        <v>17761.7304826004</v>
      </c>
      <c r="L94" s="36">
        <f t="shared" si="150"/>
        <v>-0.00653092039810843</v>
      </c>
      <c r="M94" s="35">
        <v>15995.3027120018</v>
      </c>
      <c r="N94" s="36">
        <f t="shared" si="151"/>
        <v>0.0506505751863453</v>
      </c>
      <c r="O94" s="35">
        <v>15525.608778965</v>
      </c>
      <c r="P94" s="36">
        <f t="shared" si="152"/>
        <v>0.0107075571230644</v>
      </c>
      <c r="Q94" s="127"/>
      <c r="R94" s="127"/>
      <c r="S94" s="35">
        <f t="shared" si="153"/>
        <v>115286.99005689</v>
      </c>
      <c r="T94" s="36">
        <f t="shared" si="154"/>
        <v>-0.105126102610294</v>
      </c>
      <c r="U94" s="36"/>
      <c r="V94" s="35">
        <v>15665.7199567483</v>
      </c>
      <c r="W94" s="36">
        <f t="shared" si="155"/>
        <v>-0.0836067929551711</v>
      </c>
      <c r="X94" s="35">
        <v>15221.3775266593</v>
      </c>
      <c r="Y94" s="36">
        <f t="shared" si="156"/>
        <v>0.605941604525711</v>
      </c>
      <c r="Z94" s="35">
        <v>16804.6405057057</v>
      </c>
      <c r="AA94" s="36">
        <f t="shared" si="157"/>
        <v>0.0995466627721451</v>
      </c>
      <c r="AB94" s="35">
        <v>16576.8371604417</v>
      </c>
      <c r="AC94" s="36">
        <f t="shared" si="158"/>
        <v>0.100845016304516</v>
      </c>
      <c r="AD94" s="35">
        <v>17878.4935004902</v>
      </c>
      <c r="AE94" s="36">
        <f t="shared" si="159"/>
        <v>0.0835912959099332</v>
      </c>
      <c r="AF94" s="35">
        <v>15224.1887928961</v>
      </c>
      <c r="AG94" s="36">
        <f t="shared" si="160"/>
        <v>0.0648362177394077</v>
      </c>
      <c r="AH94" s="35">
        <v>15361.1286168256</v>
      </c>
      <c r="AI94" s="36">
        <f t="shared" si="161"/>
        <v>0.0208999424155878</v>
      </c>
      <c r="AJ94" s="35">
        <v>16098.0451252028</v>
      </c>
      <c r="AK94" s="36">
        <f t="shared" si="162"/>
        <v>-0.00178212726157667</v>
      </c>
      <c r="AL94" s="35">
        <v>18246.0225669415</v>
      </c>
      <c r="AM94" s="36">
        <f t="shared" si="163"/>
        <v>0.0676099727639603</v>
      </c>
      <c r="AN94" s="35">
        <v>16714.3321415588</v>
      </c>
      <c r="AO94" s="36">
        <f t="shared" si="164"/>
        <v>-0.017444706057002</v>
      </c>
      <c r="AP94" s="35">
        <v>17342.6406029013</v>
      </c>
      <c r="AQ94" s="36">
        <f t="shared" si="165"/>
        <v>0.0275862449742179</v>
      </c>
      <c r="AR94" s="35">
        <v>18823.0691922548</v>
      </c>
      <c r="AS94" s="36">
        <f t="shared" si="166"/>
        <v>0.00783394516453639</v>
      </c>
      <c r="AT94" s="35">
        <f t="shared" si="167"/>
        <v>199956.495688626</v>
      </c>
      <c r="AU94" s="36">
        <f t="shared" si="168"/>
        <v>0.0605518014281083</v>
      </c>
      <c r="AV94" s="36"/>
      <c r="AW94" s="35">
        <f t="shared" si="169"/>
        <v>169863.299170148</v>
      </c>
      <c r="AX94" s="35">
        <v>17094.9760826653</v>
      </c>
      <c r="AY94" s="36">
        <f t="shared" si="170"/>
        <v>0.440762760656094</v>
      </c>
      <c r="AZ94" s="35">
        <v>9478.16376620661</v>
      </c>
      <c r="BA94" s="36">
        <f t="shared" si="171"/>
        <v>-0.314681037646628</v>
      </c>
      <c r="BB94" s="35">
        <v>15283.2445176436</v>
      </c>
      <c r="BC94" s="36">
        <f t="shared" si="172"/>
        <v>0.0424805649621516</v>
      </c>
      <c r="BD94" s="35">
        <v>15058.284240673</v>
      </c>
      <c r="BE94" s="36">
        <f t="shared" si="173"/>
        <v>0.0318354192606445</v>
      </c>
      <c r="BF94" s="35">
        <v>16499.2959688523</v>
      </c>
      <c r="BG94" s="36">
        <f t="shared" si="174"/>
        <v>0.0907432489332978</v>
      </c>
      <c r="BH94" s="35">
        <v>14297.2116643593</v>
      </c>
      <c r="BI94" s="36">
        <f t="shared" si="175"/>
        <v>0.0174249072092376</v>
      </c>
      <c r="BJ94" s="35">
        <v>15046.654406189</v>
      </c>
      <c r="BK94" s="36">
        <f t="shared" si="176"/>
        <v>0.0864256233773821</v>
      </c>
      <c r="BL94" s="35">
        <v>16126.7851085864</v>
      </c>
      <c r="BM94" s="36">
        <f t="shared" si="177"/>
        <v>0.0252498557882668</v>
      </c>
      <c r="BN94" s="35">
        <v>17090.5321535204</v>
      </c>
      <c r="BO94" s="36">
        <f t="shared" si="178"/>
        <v>0.0589015858754238</v>
      </c>
      <c r="BP94" s="35">
        <v>17011.0855283107</v>
      </c>
      <c r="BQ94" s="36">
        <f t="shared" si="179"/>
        <v>0.0862317391875582</v>
      </c>
      <c r="BR94" s="35">
        <v>16877.0657331409</v>
      </c>
      <c r="BS94" s="36">
        <f t="shared" si="180"/>
        <v>-0.0204834440449404</v>
      </c>
      <c r="BT94" s="35">
        <v>18676.7565059359</v>
      </c>
      <c r="BU94" s="36">
        <f t="shared" si="181"/>
        <v>0.047987592589501</v>
      </c>
      <c r="BV94" s="35">
        <f t="shared" si="182"/>
        <v>188540.055676083</v>
      </c>
      <c r="BW94" s="36">
        <f t="shared" si="183"/>
        <v>0.0441960029534512</v>
      </c>
      <c r="BX94" s="36"/>
      <c r="BY94" s="50">
        <v>11865.2262187014</v>
      </c>
      <c r="BZ94" s="721">
        <f t="shared" si="184"/>
        <v>-0.188870352127002</v>
      </c>
      <c r="CA94" s="50">
        <v>13830.2955074507</v>
      </c>
      <c r="CB94" s="721">
        <f t="shared" si="185"/>
        <v>0.335917274905566</v>
      </c>
      <c r="CC94" s="41">
        <v>14660.4598985483</v>
      </c>
      <c r="CD94" s="721">
        <f t="shared" si="186"/>
        <v>0.061423639815118</v>
      </c>
      <c r="CE94" s="41">
        <v>14593.6880626398</v>
      </c>
      <c r="CF94" s="721">
        <f t="shared" si="187"/>
        <v>0.0491423148465464</v>
      </c>
      <c r="CG94" s="41">
        <v>15126.6542194856</v>
      </c>
      <c r="CH94" s="721">
        <f t="shared" si="188"/>
        <v>0.0529730962931854</v>
      </c>
      <c r="CI94" s="50">
        <v>14052.3507563581</v>
      </c>
      <c r="CJ94" s="721">
        <f t="shared" si="189"/>
        <v>0.0810165362557433</v>
      </c>
      <c r="CK94" s="702">
        <v>13849.6866075501</v>
      </c>
      <c r="CL94" s="721">
        <f t="shared" si="190"/>
        <v>0.0729914855281071</v>
      </c>
      <c r="CM94" s="41">
        <v>15729.6146081262</v>
      </c>
      <c r="CN94" s="721">
        <f t="shared" si="191"/>
        <v>0.117936860499291</v>
      </c>
      <c r="CO94" s="41">
        <v>16139.868314005</v>
      </c>
      <c r="CP94" s="721">
        <f t="shared" si="192"/>
        <v>0.0218081336088316</v>
      </c>
      <c r="CQ94" s="41">
        <v>15660.6412007755</v>
      </c>
      <c r="CR94" s="721">
        <f t="shared" si="193"/>
        <v>0.0477176067427454</v>
      </c>
      <c r="CS94" s="41">
        <v>17229.9953793892</v>
      </c>
      <c r="CT94" s="721">
        <f t="shared" si="194"/>
        <v>0.00490190362998888</v>
      </c>
      <c r="CU94" s="41">
        <v>17821.5435354411</v>
      </c>
      <c r="CV94" s="721">
        <f t="shared" si="195"/>
        <v>0.0394026597251675</v>
      </c>
      <c r="CW94" s="41">
        <f t="shared" si="196"/>
        <v>180560.024308471</v>
      </c>
      <c r="CX94" s="721">
        <f t="shared" si="197"/>
        <v>0.0488871968760183</v>
      </c>
      <c r="CY94" s="721"/>
      <c r="CZ94" s="721">
        <f t="shared" si="198"/>
        <v>0.0343324616766596</v>
      </c>
      <c r="DA94" s="721">
        <f t="shared" si="199"/>
        <v>0.100210084535746</v>
      </c>
      <c r="DB94" s="721"/>
      <c r="DC94" s="721"/>
      <c r="DD94" s="721"/>
      <c r="DE94" s="721"/>
      <c r="DF94" s="721"/>
      <c r="DG94" s="721"/>
      <c r="DH94" s="721"/>
      <c r="DI94" s="721"/>
      <c r="DJ94" s="721"/>
      <c r="DK94" s="721"/>
      <c r="DL94" s="21"/>
      <c r="DM94" s="745">
        <v>14628.0267893243</v>
      </c>
      <c r="DN94" s="745">
        <v>10352.6586318216</v>
      </c>
      <c r="DO94" s="727">
        <v>13812.0721534918</v>
      </c>
      <c r="DP94" s="727">
        <v>13910.1129142564</v>
      </c>
      <c r="DQ94" s="727">
        <v>14365.6606923163</v>
      </c>
      <c r="DR94" s="727">
        <v>12999.2005534258</v>
      </c>
      <c r="DS94" s="727">
        <v>12907.5456742637</v>
      </c>
      <c r="DT94" s="727">
        <v>14070.2173476068</v>
      </c>
      <c r="DU94" s="727">
        <v>15795.4001178304</v>
      </c>
      <c r="DV94" s="727">
        <v>14947.3876357418</v>
      </c>
      <c r="DW94" s="727">
        <v>17210.1385596752</v>
      </c>
      <c r="DX94" s="727">
        <v>17145.9475966257</v>
      </c>
      <c r="DY94" s="728" t="e">
        <v>#DIV/0!</v>
      </c>
      <c r="DZ94" s="727">
        <f t="shared" si="200"/>
        <v>172144.36866638</v>
      </c>
      <c r="EA94" s="729">
        <f t="shared" si="201"/>
        <v>-0.0147168902978266</v>
      </c>
      <c r="EB94" s="730"/>
      <c r="EC94" s="199">
        <v>19118.0798483294</v>
      </c>
      <c r="ED94" s="737">
        <v>9276.47269508471</v>
      </c>
      <c r="EE94" s="737">
        <v>12183.7559973203</v>
      </c>
      <c r="EF94" s="737">
        <v>14521.895744567</v>
      </c>
      <c r="EG94" s="737">
        <v>14668.1175829887</v>
      </c>
      <c r="EH94" s="737">
        <v>14981.3408507164</v>
      </c>
      <c r="EI94" s="737">
        <v>12902.0115010039</v>
      </c>
      <c r="EJ94" s="737">
        <v>14916.1648902654</v>
      </c>
      <c r="EK94" s="737">
        <v>15936.3064903723</v>
      </c>
      <c r="EL94" s="737">
        <v>13727.4829192135</v>
      </c>
      <c r="EM94" s="737">
        <v>16255.0049012728</v>
      </c>
      <c r="EN94" s="737">
        <v>16229.0061460706</v>
      </c>
      <c r="EO94" s="717">
        <f t="shared" si="202"/>
        <v>174715.639567205</v>
      </c>
      <c r="EP94" s="36"/>
      <c r="EQ94" s="740">
        <f>SUM(EC94:EN94)</f>
        <v>174715.639567205</v>
      </c>
    </row>
    <row r="95" s="206" customFormat="1" ht="27" customHeight="1" spans="1:147">
      <c r="A95" s="707" t="s">
        <v>108</v>
      </c>
      <c r="B95" s="707" t="s">
        <v>88</v>
      </c>
      <c r="C95" s="35">
        <v>215.557761556829</v>
      </c>
      <c r="D95" s="36">
        <f t="shared" si="146"/>
        <v>0.170660195159204</v>
      </c>
      <c r="E95" s="35">
        <v>146.194487425709</v>
      </c>
      <c r="F95" s="36">
        <f t="shared" si="147"/>
        <v>-0.15160943651592</v>
      </c>
      <c r="G95" s="35">
        <v>191.971735138246</v>
      </c>
      <c r="H95" s="36">
        <f t="shared" si="148"/>
        <v>-0.0082889328011817</v>
      </c>
      <c r="I95" s="35">
        <v>204.672912248264</v>
      </c>
      <c r="J95" s="36">
        <f t="shared" si="149"/>
        <v>0.012974152138886</v>
      </c>
      <c r="K95" s="35">
        <v>215.715404133491</v>
      </c>
      <c r="L95" s="36">
        <f t="shared" si="150"/>
        <v>0.0188664019869835</v>
      </c>
      <c r="M95" s="35">
        <v>196.366253949472</v>
      </c>
      <c r="N95" s="36">
        <f t="shared" si="151"/>
        <v>0.0551089858943126</v>
      </c>
      <c r="O95" s="35">
        <v>189.910725183625</v>
      </c>
      <c r="P95" s="36">
        <f t="shared" si="152"/>
        <v>-0.000339472855832579</v>
      </c>
      <c r="Q95" s="127"/>
      <c r="R95" s="127"/>
      <c r="S95" s="35">
        <f t="shared" si="153"/>
        <v>1360.38927963564</v>
      </c>
      <c r="T95" s="36">
        <f t="shared" si="154"/>
        <v>-0.11332134834767</v>
      </c>
      <c r="U95" s="36"/>
      <c r="V95" s="35">
        <v>184.133502145355</v>
      </c>
      <c r="W95" s="36">
        <f t="shared" si="155"/>
        <v>-0.0269603491257604</v>
      </c>
      <c r="X95" s="35">
        <v>172.319794347232</v>
      </c>
      <c r="Y95" s="36">
        <f t="shared" si="156"/>
        <v>0.555520007288808</v>
      </c>
      <c r="Z95" s="35">
        <v>193.576275880926</v>
      </c>
      <c r="AA95" s="36">
        <f t="shared" si="157"/>
        <v>0.157412169447123</v>
      </c>
      <c r="AB95" s="35">
        <v>202.051465791204</v>
      </c>
      <c r="AC95" s="36">
        <f t="shared" si="158"/>
        <v>0.0964637018993428</v>
      </c>
      <c r="AD95" s="35">
        <v>211.720990811754</v>
      </c>
      <c r="AE95" s="36">
        <f t="shared" si="159"/>
        <v>0.0491368517511401</v>
      </c>
      <c r="AF95" s="35">
        <v>186.109924732592</v>
      </c>
      <c r="AG95" s="36">
        <f t="shared" si="160"/>
        <v>0.0215440589497824</v>
      </c>
      <c r="AH95" s="35">
        <v>189.975216612946</v>
      </c>
      <c r="AI95" s="36">
        <f t="shared" si="161"/>
        <v>0.0378765876016283</v>
      </c>
      <c r="AJ95" s="35">
        <v>194.365714982655</v>
      </c>
      <c r="AK95" s="36">
        <f t="shared" si="162"/>
        <v>0.0140982919450108</v>
      </c>
      <c r="AL95" s="35">
        <v>188.372615475572</v>
      </c>
      <c r="AM95" s="36">
        <f t="shared" si="163"/>
        <v>-0.021807063867386</v>
      </c>
      <c r="AN95" s="35">
        <v>183.98041693964</v>
      </c>
      <c r="AO95" s="36">
        <f t="shared" si="164"/>
        <v>-0.0521044327069435</v>
      </c>
      <c r="AP95" s="35">
        <v>190.317545885549</v>
      </c>
      <c r="AQ95" s="36">
        <f t="shared" si="165"/>
        <v>-0.0437224418697882</v>
      </c>
      <c r="AR95" s="35">
        <v>190.000756779363</v>
      </c>
      <c r="AS95" s="36">
        <f t="shared" si="166"/>
        <v>-0.0639045069602433</v>
      </c>
      <c r="AT95" s="35">
        <f t="shared" si="167"/>
        <v>2286.92422038479</v>
      </c>
      <c r="AU95" s="36">
        <f t="shared" si="168"/>
        <v>0.0400349904849904</v>
      </c>
      <c r="AV95" s="36"/>
      <c r="AW95" s="35">
        <f t="shared" si="169"/>
        <v>1995.92006162601</v>
      </c>
      <c r="AX95" s="35">
        <v>189.235353338292</v>
      </c>
      <c r="AY95" s="36">
        <f t="shared" si="170"/>
        <v>0.57050787062502</v>
      </c>
      <c r="AZ95" s="35">
        <v>110.779542236539</v>
      </c>
      <c r="BA95" s="36">
        <f t="shared" si="171"/>
        <v>-0.380274617752722</v>
      </c>
      <c r="BB95" s="35">
        <v>167.249214230566</v>
      </c>
      <c r="BC95" s="36">
        <f t="shared" si="172"/>
        <v>-0.0464769452608754</v>
      </c>
      <c r="BD95" s="35">
        <v>184.275562830946</v>
      </c>
      <c r="BE95" s="36">
        <f t="shared" si="173"/>
        <v>0.0477369572013122</v>
      </c>
      <c r="BF95" s="35">
        <v>201.804931795471</v>
      </c>
      <c r="BG95" s="36">
        <f t="shared" si="174"/>
        <v>0.0637546965724849</v>
      </c>
      <c r="BH95" s="35">
        <v>182.184922032561</v>
      </c>
      <c r="BI95" s="36">
        <f t="shared" si="175"/>
        <v>0.0294644721180388</v>
      </c>
      <c r="BJ95" s="35">
        <v>183.042202591687</v>
      </c>
      <c r="BK95" s="36">
        <f t="shared" si="176"/>
        <v>0.0840746154855363</v>
      </c>
      <c r="BL95" s="35">
        <v>191.663585794891</v>
      </c>
      <c r="BM95" s="36">
        <f t="shared" si="177"/>
        <v>0.0985733773809701</v>
      </c>
      <c r="BN95" s="35">
        <v>192.572046390278</v>
      </c>
      <c r="BO95" s="36">
        <f t="shared" si="178"/>
        <v>0.162216321393738</v>
      </c>
      <c r="BP95" s="35">
        <v>194.093551323423</v>
      </c>
      <c r="BQ95" s="36">
        <f t="shared" si="179"/>
        <v>0.112062502314694</v>
      </c>
      <c r="BR95" s="35">
        <v>199.019149061359</v>
      </c>
      <c r="BS95" s="36">
        <f t="shared" si="180"/>
        <v>0.0952909091227141</v>
      </c>
      <c r="BT95" s="35">
        <v>202.97155385545</v>
      </c>
      <c r="BU95" s="36">
        <f t="shared" si="181"/>
        <v>0.183259891707398</v>
      </c>
      <c r="BV95" s="35">
        <f t="shared" si="182"/>
        <v>2198.89161548146</v>
      </c>
      <c r="BW95" s="36">
        <f t="shared" si="183"/>
        <v>0.0705455110930824</v>
      </c>
      <c r="BX95" s="36"/>
      <c r="BY95" s="50">
        <v>120.493094544621</v>
      </c>
      <c r="BZ95" s="721">
        <f t="shared" si="184"/>
        <v>-0.131220362855342</v>
      </c>
      <c r="CA95" s="50">
        <v>178.755857691071</v>
      </c>
      <c r="CB95" s="721">
        <f t="shared" si="185"/>
        <v>0.299711900324016</v>
      </c>
      <c r="CC95" s="41">
        <v>175.401332353022</v>
      </c>
      <c r="CD95" s="721">
        <f t="shared" si="186"/>
        <v>0.12162913828557</v>
      </c>
      <c r="CE95" s="41">
        <v>175.879605624658</v>
      </c>
      <c r="CF95" s="721">
        <f t="shared" si="187"/>
        <v>0.195127539755907</v>
      </c>
      <c r="CG95" s="41">
        <v>189.710026612061</v>
      </c>
      <c r="CH95" s="721">
        <f t="shared" si="188"/>
        <v>0.129170037444545</v>
      </c>
      <c r="CI95" s="702">
        <v>176.970577389359</v>
      </c>
      <c r="CJ95" s="721">
        <f t="shared" si="189"/>
        <v>0.222999074888173</v>
      </c>
      <c r="CK95" s="702">
        <v>168.846498181037</v>
      </c>
      <c r="CL95" s="721">
        <f t="shared" si="190"/>
        <v>0.209406294037086</v>
      </c>
      <c r="CM95" s="41">
        <v>174.465893440657</v>
      </c>
      <c r="CN95" s="721">
        <f t="shared" si="191"/>
        <v>0.237785260860816</v>
      </c>
      <c r="CO95" s="41">
        <v>165.693806605077</v>
      </c>
      <c r="CP95" s="721">
        <f t="shared" si="192"/>
        <v>0.124874969100611</v>
      </c>
      <c r="CQ95" s="41">
        <v>174.534750447415</v>
      </c>
      <c r="CR95" s="721">
        <f t="shared" si="193"/>
        <v>0.171788724599954</v>
      </c>
      <c r="CS95" s="41">
        <v>181.70437406512</v>
      </c>
      <c r="CT95" s="721">
        <f t="shared" si="194"/>
        <v>0.230099949078789</v>
      </c>
      <c r="CU95" s="41">
        <v>171.535902871321</v>
      </c>
      <c r="CV95" s="721">
        <f t="shared" si="195"/>
        <v>0.161261562760039</v>
      </c>
      <c r="CW95" s="41">
        <f t="shared" si="196"/>
        <v>2053.99171982542</v>
      </c>
      <c r="CX95" s="721">
        <f t="shared" si="197"/>
        <v>0.159496492057777</v>
      </c>
      <c r="CY95" s="721"/>
      <c r="CZ95" s="721">
        <f t="shared" si="198"/>
        <v>-0.0559616203303657</v>
      </c>
      <c r="DA95" s="721">
        <f t="shared" si="199"/>
        <v>0.0410784878044392</v>
      </c>
      <c r="DB95" s="721"/>
      <c r="DC95" s="721"/>
      <c r="DD95" s="721"/>
      <c r="DE95" s="721"/>
      <c r="DF95" s="721"/>
      <c r="DG95" s="721"/>
      <c r="DH95" s="721"/>
      <c r="DI95" s="721"/>
      <c r="DJ95" s="721"/>
      <c r="DK95" s="721"/>
      <c r="DL95" s="222"/>
      <c r="DM95" s="742">
        <v>138.692355797651</v>
      </c>
      <c r="DN95" s="742">
        <v>137.534985750694</v>
      </c>
      <c r="DO95" s="731">
        <v>156.380862769958</v>
      </c>
      <c r="DP95" s="731">
        <v>147.163879815354</v>
      </c>
      <c r="DQ95" s="731">
        <v>168.008378119383</v>
      </c>
      <c r="DR95" s="731">
        <v>144.702135122662</v>
      </c>
      <c r="DS95" s="731">
        <v>139.611062893856</v>
      </c>
      <c r="DT95" s="731">
        <v>140.950049218816</v>
      </c>
      <c r="DU95" s="731">
        <v>147.299754334081</v>
      </c>
      <c r="DV95" s="731">
        <v>148.947286130442</v>
      </c>
      <c r="DW95" s="731">
        <v>154.445550672994</v>
      </c>
      <c r="DX95" s="731">
        <v>147.715130141414</v>
      </c>
      <c r="DY95" s="732">
        <v>-0.0317042455956255</v>
      </c>
      <c r="DZ95" s="731">
        <f t="shared" si="200"/>
        <v>1771.4514307673</v>
      </c>
      <c r="EA95" s="733">
        <f t="shared" si="201"/>
        <v>-0.128762695114966</v>
      </c>
      <c r="EB95" s="743"/>
      <c r="EC95" s="199">
        <v>199.168348683655</v>
      </c>
      <c r="ED95" s="35">
        <v>123.349684277633</v>
      </c>
      <c r="EE95" s="35">
        <v>157.34009046058</v>
      </c>
      <c r="EF95" s="35">
        <v>190.07992539734</v>
      </c>
      <c r="EG95" s="35">
        <v>196.408944689444</v>
      </c>
      <c r="EH95" s="35">
        <v>200.25201236749</v>
      </c>
      <c r="EI95" s="35">
        <v>170.21243988859</v>
      </c>
      <c r="EJ95" s="35">
        <v>166.453668918281</v>
      </c>
      <c r="EK95" s="35">
        <v>162.962873922207</v>
      </c>
      <c r="EL95" s="35">
        <v>148.204044419531</v>
      </c>
      <c r="EM95" s="35">
        <v>166.275691007109</v>
      </c>
      <c r="EN95" s="35">
        <v>152.551665614064</v>
      </c>
      <c r="EO95" s="724">
        <f t="shared" si="202"/>
        <v>2033.25938964592</v>
      </c>
      <c r="EP95" s="36"/>
      <c r="EQ95" s="740">
        <f>SUM(EC95:EN95)</f>
        <v>2033.25938964592</v>
      </c>
    </row>
    <row r="96" s="206" customFormat="1" ht="27" customHeight="1" spans="1:147">
      <c r="A96" s="45"/>
      <c r="B96" s="707" t="s">
        <v>89</v>
      </c>
      <c r="C96" s="35">
        <v>39.7869</v>
      </c>
      <c r="D96" s="36">
        <f t="shared" si="146"/>
        <v>0.162805446526948</v>
      </c>
      <c r="E96" s="35">
        <v>38.8195</v>
      </c>
      <c r="F96" s="36">
        <f t="shared" si="147"/>
        <v>0.172645767002374</v>
      </c>
      <c r="G96" s="35">
        <v>40.937</v>
      </c>
      <c r="H96" s="36">
        <f t="shared" si="148"/>
        <v>0.176587244560688</v>
      </c>
      <c r="I96" s="35">
        <v>37.3704</v>
      </c>
      <c r="J96" s="36">
        <f t="shared" si="149"/>
        <v>0.00289836403452259</v>
      </c>
      <c r="K96" s="35">
        <v>37.2193</v>
      </c>
      <c r="L96" s="36">
        <f t="shared" si="150"/>
        <v>0.0271161557205815</v>
      </c>
      <c r="M96" s="35">
        <v>36.3092</v>
      </c>
      <c r="N96" s="36">
        <f t="shared" si="151"/>
        <v>-0.068514798652639</v>
      </c>
      <c r="O96" s="35">
        <v>36.9671</v>
      </c>
      <c r="P96" s="36">
        <f t="shared" si="152"/>
        <v>-0.0199576350944727</v>
      </c>
      <c r="Q96" s="127"/>
      <c r="R96" s="127"/>
      <c r="S96" s="35">
        <f t="shared" si="153"/>
        <v>267.4094</v>
      </c>
      <c r="T96" s="36">
        <f t="shared" si="154"/>
        <v>-0.084298113836851</v>
      </c>
      <c r="U96" s="36"/>
      <c r="V96" s="35">
        <v>34.2163</v>
      </c>
      <c r="W96" s="36">
        <f t="shared" si="155"/>
        <v>-0.0191180854967435</v>
      </c>
      <c r="X96" s="35">
        <v>33.1042</v>
      </c>
      <c r="Y96" s="36">
        <f t="shared" si="156"/>
        <v>0.253201694446863</v>
      </c>
      <c r="Z96" s="35">
        <v>34.793</v>
      </c>
      <c r="AA96" s="36">
        <f t="shared" si="157"/>
        <v>0.0682103569707073</v>
      </c>
      <c r="AB96" s="35">
        <v>37.2624</v>
      </c>
      <c r="AC96" s="36">
        <f t="shared" si="158"/>
        <v>-0.0342450309327514</v>
      </c>
      <c r="AD96" s="35">
        <v>36.2367</v>
      </c>
      <c r="AE96" s="36">
        <f t="shared" si="159"/>
        <v>-0.0406465106428042</v>
      </c>
      <c r="AF96" s="35">
        <v>38.9799</v>
      </c>
      <c r="AG96" s="36">
        <f t="shared" si="160"/>
        <v>0.0114981005169086</v>
      </c>
      <c r="AH96" s="35">
        <v>37.7199</v>
      </c>
      <c r="AI96" s="36">
        <f t="shared" si="161"/>
        <v>0.0118378909079204</v>
      </c>
      <c r="AJ96" s="35">
        <v>39.7143</v>
      </c>
      <c r="AK96" s="36">
        <f t="shared" si="162"/>
        <v>0.0530386593837833</v>
      </c>
      <c r="AL96" s="35">
        <v>38.2642</v>
      </c>
      <c r="AM96" s="36">
        <f t="shared" si="163"/>
        <v>0.0152482786983112</v>
      </c>
      <c r="AN96" s="35">
        <v>37.7869</v>
      </c>
      <c r="AO96" s="36">
        <f t="shared" si="164"/>
        <v>0.0409212867823281</v>
      </c>
      <c r="AP96" s="35">
        <v>39.8956</v>
      </c>
      <c r="AQ96" s="36">
        <f t="shared" si="165"/>
        <v>0.0122934909200709</v>
      </c>
      <c r="AR96" s="35">
        <v>41.4087</v>
      </c>
      <c r="AS96" s="36">
        <f t="shared" si="166"/>
        <v>0.0370686675716154</v>
      </c>
      <c r="AT96" s="35">
        <f t="shared" si="167"/>
        <v>449.3821</v>
      </c>
      <c r="AU96" s="36">
        <f t="shared" si="168"/>
        <v>0.02813222755527</v>
      </c>
      <c r="AV96" s="36"/>
      <c r="AW96" s="35">
        <f t="shared" si="169"/>
        <v>397.1573</v>
      </c>
      <c r="AX96" s="35">
        <v>34.8832</v>
      </c>
      <c r="AY96" s="36">
        <f t="shared" si="170"/>
        <v>0.0454369723470125</v>
      </c>
      <c r="AZ96" s="35">
        <v>26.4157</v>
      </c>
      <c r="BA96" s="36">
        <f t="shared" si="171"/>
        <v>-0.0630371476506496</v>
      </c>
      <c r="BB96" s="35">
        <v>32.5713</v>
      </c>
      <c r="BC96" s="36">
        <f t="shared" si="172"/>
        <v>0.0491776347577357</v>
      </c>
      <c r="BD96" s="35">
        <v>38.5837</v>
      </c>
      <c r="BE96" s="36">
        <f t="shared" si="173"/>
        <v>0.191862871687785</v>
      </c>
      <c r="BF96" s="35">
        <v>37.772</v>
      </c>
      <c r="BG96" s="36">
        <f t="shared" si="174"/>
        <v>0.188318164229018</v>
      </c>
      <c r="BH96" s="35">
        <v>38.5368</v>
      </c>
      <c r="BI96" s="36">
        <f t="shared" si="175"/>
        <v>0.00164528831533395</v>
      </c>
      <c r="BJ96" s="35">
        <v>37.2786</v>
      </c>
      <c r="BK96" s="36">
        <f t="shared" si="176"/>
        <v>0.0162668782151414</v>
      </c>
      <c r="BL96" s="35">
        <v>37.714</v>
      </c>
      <c r="BM96" s="36">
        <f t="shared" si="177"/>
        <v>0.114819226892346</v>
      </c>
      <c r="BN96" s="35">
        <v>37.6895</v>
      </c>
      <c r="BO96" s="36">
        <f t="shared" si="178"/>
        <v>0.120974002218779</v>
      </c>
      <c r="BP96" s="35">
        <v>36.3014</v>
      </c>
      <c r="BQ96" s="36">
        <f t="shared" si="179"/>
        <v>-0.0138785134316519</v>
      </c>
      <c r="BR96" s="35">
        <v>39.4111</v>
      </c>
      <c r="BS96" s="36">
        <f t="shared" si="180"/>
        <v>-0.0296823720292393</v>
      </c>
      <c r="BT96" s="35">
        <v>39.9286</v>
      </c>
      <c r="BU96" s="36">
        <f t="shared" si="181"/>
        <v>-0.0687489358923228</v>
      </c>
      <c r="BV96" s="35">
        <f t="shared" si="182"/>
        <v>437.0859</v>
      </c>
      <c r="BW96" s="36">
        <f t="shared" si="183"/>
        <v>0.0414846412397378</v>
      </c>
      <c r="BX96" s="36"/>
      <c r="BY96" s="50">
        <v>33.3671</v>
      </c>
      <c r="BZ96" s="721">
        <f t="shared" si="184"/>
        <v>0.552701992117154</v>
      </c>
      <c r="CA96" s="50">
        <v>28.1929</v>
      </c>
      <c r="CB96" s="721">
        <f t="shared" si="185"/>
        <v>0.554372636152124</v>
      </c>
      <c r="CC96" s="41">
        <v>31.0446</v>
      </c>
      <c r="CD96" s="721">
        <f t="shared" si="186"/>
        <v>0.545330101098595</v>
      </c>
      <c r="CE96" s="41">
        <v>32.3726</v>
      </c>
      <c r="CF96" s="721">
        <f t="shared" si="187"/>
        <v>0.654922449313444</v>
      </c>
      <c r="CG96" s="41">
        <v>31.7861</v>
      </c>
      <c r="CH96" s="721">
        <f t="shared" si="188"/>
        <v>0.507607736745748</v>
      </c>
      <c r="CI96" s="702">
        <v>38.4735</v>
      </c>
      <c r="CJ96" s="721">
        <f t="shared" si="189"/>
        <v>0.796878283896821</v>
      </c>
      <c r="CK96" s="702">
        <v>36.6819</v>
      </c>
      <c r="CL96" s="721">
        <f t="shared" si="190"/>
        <v>0.704272074709039</v>
      </c>
      <c r="CM96" s="41">
        <v>33.8297</v>
      </c>
      <c r="CN96" s="721">
        <f t="shared" si="191"/>
        <v>0.809103889367209</v>
      </c>
      <c r="CO96" s="41">
        <v>33.6221</v>
      </c>
      <c r="CP96" s="721">
        <f t="shared" si="192"/>
        <v>0.639262816606129</v>
      </c>
      <c r="CQ96" s="41">
        <v>36.8123</v>
      </c>
      <c r="CR96" s="721">
        <f t="shared" si="193"/>
        <v>0.620723358355163</v>
      </c>
      <c r="CS96" s="41">
        <v>40.6167</v>
      </c>
      <c r="CT96" s="721">
        <f t="shared" si="194"/>
        <v>0.188321206323014</v>
      </c>
      <c r="CU96" s="41">
        <v>42.8763</v>
      </c>
      <c r="CV96" s="721">
        <f t="shared" si="195"/>
        <v>0.254430235313737</v>
      </c>
      <c r="CW96" s="41">
        <f t="shared" si="196"/>
        <v>419.6758</v>
      </c>
      <c r="CX96" s="721">
        <f t="shared" si="197"/>
        <v>0.577111363560351</v>
      </c>
      <c r="CY96" s="721"/>
      <c r="CZ96" s="721">
        <f t="shared" si="198"/>
        <v>0.0556322891815435</v>
      </c>
      <c r="DA96" s="721">
        <f t="shared" si="199"/>
        <v>0.103345892541352</v>
      </c>
      <c r="DB96" s="721"/>
      <c r="DC96" s="721"/>
      <c r="DD96" s="721"/>
      <c r="DE96" s="721"/>
      <c r="DF96" s="721"/>
      <c r="DG96" s="721"/>
      <c r="DH96" s="721"/>
      <c r="DI96" s="721"/>
      <c r="DJ96" s="721"/>
      <c r="DK96" s="721"/>
      <c r="DL96" s="735" t="s">
        <v>109</v>
      </c>
      <c r="DM96" s="742">
        <v>21.4897</v>
      </c>
      <c r="DN96" s="742">
        <v>18.1378</v>
      </c>
      <c r="DO96" s="731">
        <v>20.0893</v>
      </c>
      <c r="DP96" s="731">
        <v>19.5614</v>
      </c>
      <c r="DQ96" s="731">
        <v>21.0838</v>
      </c>
      <c r="DR96" s="731">
        <v>21.4113</v>
      </c>
      <c r="DS96" s="731">
        <v>21.5235</v>
      </c>
      <c r="DT96" s="731">
        <v>18.6997</v>
      </c>
      <c r="DU96" s="731">
        <v>20.5105</v>
      </c>
      <c r="DV96" s="731">
        <v>22.7135</v>
      </c>
      <c r="DW96" s="731">
        <v>26.7037</v>
      </c>
      <c r="DX96" s="731">
        <v>34.1799</v>
      </c>
      <c r="DY96" s="732" t="e">
        <v>#DIV/0!</v>
      </c>
      <c r="DZ96" s="731">
        <f t="shared" si="200"/>
        <v>266.1041</v>
      </c>
      <c r="EA96" s="733">
        <f t="shared" si="201"/>
        <v>0.17927552472853</v>
      </c>
      <c r="EB96" s="747"/>
      <c r="EC96" s="199">
        <v>20.30977</v>
      </c>
      <c r="ED96" s="35">
        <v>16.67569</v>
      </c>
      <c r="EE96" s="35">
        <v>18.65381</v>
      </c>
      <c r="EF96" s="35">
        <v>18.55982</v>
      </c>
      <c r="EG96" s="35">
        <v>20.0542</v>
      </c>
      <c r="EH96" s="35">
        <v>20.9545</v>
      </c>
      <c r="EI96" s="35">
        <v>21.2135</v>
      </c>
      <c r="EJ96" s="35">
        <v>19.1594</v>
      </c>
      <c r="EK96" s="35">
        <v>17.4667</v>
      </c>
      <c r="EL96" s="35">
        <v>17.2531</v>
      </c>
      <c r="EM96" s="35">
        <v>17.2424</v>
      </c>
      <c r="EN96" s="35">
        <v>18.1076</v>
      </c>
      <c r="EO96" s="744">
        <f t="shared" si="202"/>
        <v>225.65049</v>
      </c>
      <c r="EP96" s="36"/>
      <c r="EQ96" s="740">
        <f>SUM(EC96:EN96)</f>
        <v>225.65049</v>
      </c>
    </row>
    <row r="97" s="206" customFormat="1" ht="27" customHeight="1" spans="1:147">
      <c r="A97" s="45"/>
      <c r="B97" s="707" t="s">
        <v>90</v>
      </c>
      <c r="C97" s="35">
        <v>175.770861556829</v>
      </c>
      <c r="D97" s="36">
        <f t="shared" si="146"/>
        <v>0.172452920955709</v>
      </c>
      <c r="E97" s="35">
        <v>107.374987425709</v>
      </c>
      <c r="F97" s="36">
        <f t="shared" si="147"/>
        <v>-0.228714369757357</v>
      </c>
      <c r="G97" s="35">
        <v>151.034735138246</v>
      </c>
      <c r="H97" s="36">
        <f t="shared" si="148"/>
        <v>-0.0487994765172294</v>
      </c>
      <c r="I97" s="35">
        <v>167.302512248264</v>
      </c>
      <c r="J97" s="36">
        <f t="shared" si="149"/>
        <v>0.0152525074706393</v>
      </c>
      <c r="K97" s="35">
        <v>178.496104133491</v>
      </c>
      <c r="L97" s="36">
        <f t="shared" si="150"/>
        <v>0.0171628657346192</v>
      </c>
      <c r="M97" s="35">
        <v>160.057053949472</v>
      </c>
      <c r="N97" s="36">
        <f t="shared" si="151"/>
        <v>0.0878612590487549</v>
      </c>
      <c r="O97" s="35">
        <v>152.943625183625</v>
      </c>
      <c r="P97" s="36">
        <f t="shared" si="152"/>
        <v>0.004520752286298</v>
      </c>
      <c r="Q97" s="127"/>
      <c r="R97" s="127"/>
      <c r="S97" s="35">
        <f t="shared" si="153"/>
        <v>1092.97987963564</v>
      </c>
      <c r="T97" s="36">
        <f t="shared" si="154"/>
        <v>-0.12014422770554</v>
      </c>
      <c r="U97" s="36"/>
      <c r="V97" s="35">
        <v>149.917202145355</v>
      </c>
      <c r="W97" s="36">
        <f t="shared" si="155"/>
        <v>-0.0287326810609306</v>
      </c>
      <c r="X97" s="35">
        <v>139.215594347232</v>
      </c>
      <c r="Y97" s="36">
        <f t="shared" si="156"/>
        <v>0.650180819845781</v>
      </c>
      <c r="Z97" s="35">
        <v>158.783275880926</v>
      </c>
      <c r="AA97" s="36">
        <f t="shared" si="157"/>
        <v>0.178985261154937</v>
      </c>
      <c r="AB97" s="35">
        <v>164.789065791204</v>
      </c>
      <c r="AC97" s="36">
        <f t="shared" si="158"/>
        <v>0.131079406832882</v>
      </c>
      <c r="AD97" s="35">
        <v>175.484290811754</v>
      </c>
      <c r="AE97" s="36">
        <f t="shared" si="159"/>
        <v>0.0698113414845345</v>
      </c>
      <c r="AF97" s="35">
        <v>147.130024732592</v>
      </c>
      <c r="AG97" s="36">
        <f t="shared" si="160"/>
        <v>0.0242391104788808</v>
      </c>
      <c r="AH97" s="35">
        <v>152.255316612946</v>
      </c>
      <c r="AI97" s="36">
        <f t="shared" si="161"/>
        <v>0.0445359054375432</v>
      </c>
      <c r="AJ97" s="35">
        <v>154.651414982655</v>
      </c>
      <c r="AK97" s="36">
        <f t="shared" si="162"/>
        <v>0.00455882478760983</v>
      </c>
      <c r="AL97" s="35">
        <v>150.108415475572</v>
      </c>
      <c r="AM97" s="36">
        <f t="shared" si="163"/>
        <v>-0.0308242021194305</v>
      </c>
      <c r="AN97" s="35">
        <v>146.19351693964</v>
      </c>
      <c r="AO97" s="36">
        <f t="shared" si="164"/>
        <v>-0.0735057750750198</v>
      </c>
      <c r="AP97" s="35">
        <v>150.421945885549</v>
      </c>
      <c r="AQ97" s="36">
        <f t="shared" si="165"/>
        <v>-0.0575541348311233</v>
      </c>
      <c r="AR97" s="35">
        <v>148.592056779363</v>
      </c>
      <c r="AS97" s="36">
        <f t="shared" si="166"/>
        <v>-0.0886324538066137</v>
      </c>
      <c r="AT97" s="35">
        <f t="shared" si="167"/>
        <v>1837.54212038479</v>
      </c>
      <c r="AU97" s="36">
        <f t="shared" si="168"/>
        <v>0.0429879436976555</v>
      </c>
      <c r="AV97" s="36"/>
      <c r="AW97" s="35">
        <f t="shared" si="169"/>
        <v>1598.76276162601</v>
      </c>
      <c r="AX97" s="35">
        <v>154.352153338292</v>
      </c>
      <c r="AY97" s="36">
        <f t="shared" si="170"/>
        <v>0.771597031919579</v>
      </c>
      <c r="AZ97" s="35">
        <v>84.363842236539</v>
      </c>
      <c r="BA97" s="36">
        <f t="shared" si="171"/>
        <v>-0.439677304894349</v>
      </c>
      <c r="BB97" s="35">
        <v>134.677914230566</v>
      </c>
      <c r="BC97" s="36">
        <f t="shared" si="172"/>
        <v>-0.0670479163991232</v>
      </c>
      <c r="BD97" s="35">
        <v>145.691862830946</v>
      </c>
      <c r="BE97" s="36">
        <f t="shared" si="173"/>
        <v>0.0152247424909868</v>
      </c>
      <c r="BF97" s="35">
        <v>164.032931795471</v>
      </c>
      <c r="BG97" s="36">
        <f t="shared" si="174"/>
        <v>0.0386832148520264</v>
      </c>
      <c r="BH97" s="35">
        <v>143.648122032561</v>
      </c>
      <c r="BI97" s="36">
        <f t="shared" si="175"/>
        <v>0.0371924429041979</v>
      </c>
      <c r="BJ97" s="35">
        <v>145.763602591687</v>
      </c>
      <c r="BK97" s="36">
        <f t="shared" si="176"/>
        <v>0.102894455836216</v>
      </c>
      <c r="BL97" s="35">
        <v>153.949585794891</v>
      </c>
      <c r="BM97" s="36">
        <f t="shared" si="177"/>
        <v>0.0946654771330377</v>
      </c>
      <c r="BN97" s="35">
        <v>154.882546390278</v>
      </c>
      <c r="BO97" s="36">
        <f t="shared" si="178"/>
        <v>0.172715567713609</v>
      </c>
      <c r="BP97" s="35">
        <v>157.792151323423</v>
      </c>
      <c r="BQ97" s="36">
        <f t="shared" si="179"/>
        <v>0.145725702750773</v>
      </c>
      <c r="BR97" s="35">
        <v>159.608049061359</v>
      </c>
      <c r="BS97" s="36">
        <f t="shared" si="180"/>
        <v>0.131268554244439</v>
      </c>
      <c r="BT97" s="35">
        <v>163.04295385545</v>
      </c>
      <c r="BU97" s="36">
        <f t="shared" si="181"/>
        <v>0.267242788076359</v>
      </c>
      <c r="BV97" s="35">
        <f t="shared" si="182"/>
        <v>1761.80571548146</v>
      </c>
      <c r="BW97" s="36">
        <f t="shared" si="183"/>
        <v>0.0780080485721897</v>
      </c>
      <c r="BX97" s="36"/>
      <c r="BY97" s="50">
        <v>87.125994544621</v>
      </c>
      <c r="BZ97" s="721">
        <f t="shared" si="184"/>
        <v>-0.256620987368725</v>
      </c>
      <c r="CA97" s="50">
        <v>150.562957691071</v>
      </c>
      <c r="CB97" s="721">
        <f t="shared" si="185"/>
        <v>0.261026017861529</v>
      </c>
      <c r="CC97" s="41">
        <v>144.356732353022</v>
      </c>
      <c r="CD97" s="721">
        <f t="shared" si="186"/>
        <v>0.059175853729676</v>
      </c>
      <c r="CE97" s="41">
        <v>143.507005624658</v>
      </c>
      <c r="CF97" s="721">
        <f t="shared" si="187"/>
        <v>0.124641196882055</v>
      </c>
      <c r="CG97" s="41">
        <v>157.923926612061</v>
      </c>
      <c r="CH97" s="721">
        <f t="shared" si="188"/>
        <v>0.0748639106776303</v>
      </c>
      <c r="CI97" s="702">
        <v>138.497077389359</v>
      </c>
      <c r="CJ97" s="721">
        <f t="shared" si="189"/>
        <v>0.123336355468501</v>
      </c>
      <c r="CK97" s="702">
        <v>132.164598181037</v>
      </c>
      <c r="CL97" s="721">
        <f t="shared" si="190"/>
        <v>0.119208449579354</v>
      </c>
      <c r="CM97" s="41">
        <v>140.636193440657</v>
      </c>
      <c r="CN97" s="721">
        <f t="shared" si="191"/>
        <v>0.150395024139621</v>
      </c>
      <c r="CO97" s="41">
        <v>132.071706605077</v>
      </c>
      <c r="CP97" s="721">
        <f t="shared" si="192"/>
        <v>0.0416632489775286</v>
      </c>
      <c r="CQ97" s="41">
        <v>137.722450447415</v>
      </c>
      <c r="CR97" s="721">
        <f t="shared" si="193"/>
        <v>0.0910110095652312</v>
      </c>
      <c r="CS97" s="41">
        <v>141.08767406512</v>
      </c>
      <c r="CT97" s="721">
        <f t="shared" si="194"/>
        <v>0.242677483362548</v>
      </c>
      <c r="CU97" s="41">
        <v>128.659602871321</v>
      </c>
      <c r="CV97" s="721">
        <f t="shared" si="195"/>
        <v>0.133213036262566</v>
      </c>
      <c r="CW97" s="41">
        <f t="shared" si="196"/>
        <v>1634.31591982542</v>
      </c>
      <c r="CX97" s="721">
        <f t="shared" si="197"/>
        <v>0.0856736425024092</v>
      </c>
      <c r="CY97" s="721"/>
      <c r="CZ97" s="721">
        <f t="shared" si="198"/>
        <v>-0.0880875758718848</v>
      </c>
      <c r="DA97" s="721">
        <f t="shared" si="199"/>
        <v>0.0244348224038455</v>
      </c>
      <c r="DB97" s="721"/>
      <c r="DC97" s="721"/>
      <c r="DD97" s="721"/>
      <c r="DE97" s="721"/>
      <c r="DF97" s="721"/>
      <c r="DG97" s="721"/>
      <c r="DH97" s="721"/>
      <c r="DI97" s="721"/>
      <c r="DJ97" s="721"/>
      <c r="DK97" s="721"/>
      <c r="DL97" s="206"/>
      <c r="DM97" s="742">
        <v>117.202655797651</v>
      </c>
      <c r="DN97" s="742">
        <v>119.397185750694</v>
      </c>
      <c r="DO97" s="731">
        <v>136.291562769958</v>
      </c>
      <c r="DP97" s="731">
        <v>127.602479815354</v>
      </c>
      <c r="DQ97" s="731">
        <v>146.924578119383</v>
      </c>
      <c r="DR97" s="731">
        <v>123.290835122662</v>
      </c>
      <c r="DS97" s="731">
        <v>118.087562893856</v>
      </c>
      <c r="DT97" s="731">
        <v>122.250349218816</v>
      </c>
      <c r="DU97" s="731">
        <v>126.789254334081</v>
      </c>
      <c r="DV97" s="731">
        <v>126.233786130442</v>
      </c>
      <c r="DW97" s="731">
        <v>127.741850672994</v>
      </c>
      <c r="DX97" s="731">
        <v>113.535230141414</v>
      </c>
      <c r="DY97" s="732">
        <v>-0.155520702064091</v>
      </c>
      <c r="DZ97" s="731">
        <f t="shared" si="200"/>
        <v>1505.34733076731</v>
      </c>
      <c r="EA97" s="733">
        <f t="shared" si="201"/>
        <v>-0.167216242926125</v>
      </c>
      <c r="EB97" s="733"/>
      <c r="EC97" s="199">
        <v>178.858578683655</v>
      </c>
      <c r="ED97" s="35">
        <v>106.673994277633</v>
      </c>
      <c r="EE97" s="35">
        <v>138.68628046058</v>
      </c>
      <c r="EF97" s="35">
        <v>171.52010539734</v>
      </c>
      <c r="EG97" s="35">
        <v>176.354744689444</v>
      </c>
      <c r="EH97" s="35">
        <v>179.29751236749</v>
      </c>
      <c r="EI97" s="35">
        <v>148.99893988859</v>
      </c>
      <c r="EJ97" s="35">
        <v>147.294268918281</v>
      </c>
      <c r="EK97" s="35">
        <v>145.496173922207</v>
      </c>
      <c r="EL97" s="35">
        <v>130.950944419531</v>
      </c>
      <c r="EM97" s="35">
        <v>149.033291007109</v>
      </c>
      <c r="EN97" s="35">
        <v>134.444065614064</v>
      </c>
      <c r="EO97" s="724">
        <f t="shared" si="202"/>
        <v>1807.60889964592</v>
      </c>
      <c r="EP97" s="36"/>
      <c r="EQ97" s="740">
        <f>SUM(EC97:EN97)</f>
        <v>1807.60889964592</v>
      </c>
    </row>
    <row r="98" s="206" customFormat="1" ht="27" customHeight="1" spans="1:147">
      <c r="A98" s="45"/>
      <c r="B98" s="707" t="s">
        <v>91</v>
      </c>
      <c r="C98" s="35">
        <f>C99+C100</f>
        <v>34891.0368620713</v>
      </c>
      <c r="D98" s="36">
        <f t="shared" si="146"/>
        <v>0.14678469910361</v>
      </c>
      <c r="E98" s="35">
        <f>E99+E100</f>
        <v>25422.9454071539</v>
      </c>
      <c r="F98" s="36">
        <f t="shared" si="147"/>
        <v>-0.128740260912234</v>
      </c>
      <c r="G98" s="35">
        <f>G99+G100</f>
        <v>33098.7082566066</v>
      </c>
      <c r="H98" s="36">
        <f t="shared" si="148"/>
        <v>-0.0104133464564229</v>
      </c>
      <c r="I98" s="35">
        <f>I99+I100</f>
        <v>34644.802784742</v>
      </c>
      <c r="J98" s="36">
        <f t="shared" si="149"/>
        <v>0.00412368106647243</v>
      </c>
      <c r="K98" s="35">
        <f>K99+K100</f>
        <v>35612.3208172245</v>
      </c>
      <c r="L98" s="36">
        <f t="shared" si="150"/>
        <v>-0.00662876261189482</v>
      </c>
      <c r="M98" s="35">
        <f>M99+M100</f>
        <v>32617.7657365831</v>
      </c>
      <c r="N98" s="36">
        <f t="shared" si="151"/>
        <v>0.0185598986119775</v>
      </c>
      <c r="O98" s="35">
        <f>O99+O100</f>
        <v>31750.4031487241</v>
      </c>
      <c r="P98" s="36">
        <f t="shared" si="152"/>
        <v>-0.00751833607383945</v>
      </c>
      <c r="Q98" s="127"/>
      <c r="R98" s="127"/>
      <c r="S98" s="35">
        <f t="shared" si="153"/>
        <v>228037.983013106</v>
      </c>
      <c r="T98" s="36">
        <f t="shared" si="154"/>
        <v>-0.12384020769886</v>
      </c>
      <c r="U98" s="36"/>
      <c r="V98" s="35">
        <f>V99+V100</f>
        <v>30425.0980060547</v>
      </c>
      <c r="W98" s="36">
        <f t="shared" si="155"/>
        <v>-0.0510871472334679</v>
      </c>
      <c r="X98" s="35">
        <f>X99+X100</f>
        <v>29179.5250791371</v>
      </c>
      <c r="Y98" s="36">
        <f t="shared" si="156"/>
        <v>0.480336962868759</v>
      </c>
      <c r="Z98" s="35">
        <f>Z99+Z100</f>
        <v>33447.0034918969</v>
      </c>
      <c r="AA98" s="36">
        <f t="shared" si="157"/>
        <v>0.13934729589223</v>
      </c>
      <c r="AB98" s="35">
        <f>AB99+AB100</f>
        <v>34502.5253741113</v>
      </c>
      <c r="AC98" s="36">
        <f t="shared" si="158"/>
        <v>0.0843496269475463</v>
      </c>
      <c r="AD98" s="35">
        <f>AD99+AD100</f>
        <v>35849.9617029992</v>
      </c>
      <c r="AE98" s="36">
        <f t="shared" si="159"/>
        <v>0.0744561389457159</v>
      </c>
      <c r="AF98" s="35">
        <f>AF99+AF100</f>
        <v>32023.4144118891</v>
      </c>
      <c r="AG98" s="36">
        <f t="shared" si="160"/>
        <v>0.0639209134128373</v>
      </c>
      <c r="AH98" s="35">
        <f>AH99+AH100</f>
        <v>31990.9216489931</v>
      </c>
      <c r="AI98" s="36">
        <f t="shared" si="161"/>
        <v>0.0652723668495079</v>
      </c>
      <c r="AJ98" s="35">
        <f>AJ99+AJ100</f>
        <v>32851.4063281731</v>
      </c>
      <c r="AK98" s="36">
        <f t="shared" si="162"/>
        <v>0.0526463991784838</v>
      </c>
      <c r="AL98" s="35">
        <f>AL99+AL100</f>
        <v>31153.1491360885</v>
      </c>
      <c r="AM98" s="36">
        <f t="shared" si="163"/>
        <v>0.0220611982279426</v>
      </c>
      <c r="AN98" s="35">
        <f>AN99+AN100</f>
        <v>30629.659877897</v>
      </c>
      <c r="AO98" s="36">
        <f t="shared" si="164"/>
        <v>-0.0336993850697317</v>
      </c>
      <c r="AP98" s="35">
        <f>AP99+AP100</f>
        <v>32442.5513954631</v>
      </c>
      <c r="AQ98" s="36">
        <f t="shared" si="165"/>
        <v>-0.0309546294654668</v>
      </c>
      <c r="AR98" s="35">
        <f>AR99+AR100</f>
        <v>35155.0471188582</v>
      </c>
      <c r="AS98" s="36">
        <f t="shared" si="166"/>
        <v>-0.0604483470861819</v>
      </c>
      <c r="AT98" s="35">
        <f t="shared" si="167"/>
        <v>389650.263571561</v>
      </c>
      <c r="AU98" s="36">
        <f t="shared" si="168"/>
        <v>0.051040914948842</v>
      </c>
      <c r="AV98" s="36"/>
      <c r="AW98" s="35">
        <f t="shared" si="169"/>
        <v>333311.136028835</v>
      </c>
      <c r="AX98" s="35">
        <f>AX99+AX100</f>
        <v>32063.1108719321</v>
      </c>
      <c r="AY98" s="36">
        <f t="shared" si="170"/>
        <v>0.377354843164922</v>
      </c>
      <c r="AZ98" s="35">
        <f>AZ99+AZ100</f>
        <v>19711.4074775177</v>
      </c>
      <c r="BA98" s="36">
        <f t="shared" si="171"/>
        <v>-0.321076012983246</v>
      </c>
      <c r="BB98" s="35">
        <f>BB99+BB100</f>
        <v>29356.2846135553</v>
      </c>
      <c r="BC98" s="36">
        <f t="shared" si="172"/>
        <v>-0.0226129914640359</v>
      </c>
      <c r="BD98" s="35">
        <f>BD99+BD100</f>
        <v>31818.6353521753</v>
      </c>
      <c r="BE98" s="36">
        <f t="shared" si="173"/>
        <v>0.0410631414568441</v>
      </c>
      <c r="BF98" s="35">
        <f>BF99+BF100</f>
        <v>33365.6818585225</v>
      </c>
      <c r="BG98" s="36">
        <f t="shared" si="174"/>
        <v>0.0471302113404204</v>
      </c>
      <c r="BH98" s="35">
        <f>BH99+BH100</f>
        <v>30099.4312717894</v>
      </c>
      <c r="BI98" s="36">
        <f t="shared" si="175"/>
        <v>0.0106389379549618</v>
      </c>
      <c r="BJ98" s="35">
        <f>BJ99+BJ100</f>
        <v>30030.7439153845</v>
      </c>
      <c r="BK98" s="36">
        <f t="shared" si="176"/>
        <v>0.0489037942891732</v>
      </c>
      <c r="BL98" s="35">
        <f>BL99+BL100</f>
        <v>31208.3966218963</v>
      </c>
      <c r="BM98" s="36">
        <f t="shared" si="177"/>
        <v>0.0476675262317026</v>
      </c>
      <c r="BN98" s="35">
        <f>BN99+BN100</f>
        <v>30480.7081905683</v>
      </c>
      <c r="BO98" s="36">
        <f t="shared" si="178"/>
        <v>0.0853450539024121</v>
      </c>
      <c r="BP98" s="35">
        <f>BP99+BP100</f>
        <v>31697.8582075179</v>
      </c>
      <c r="BQ98" s="36">
        <f t="shared" si="179"/>
        <v>0.0515665741013718</v>
      </c>
      <c r="BR98" s="35">
        <f>BR99+BR100</f>
        <v>33478.8776479759</v>
      </c>
      <c r="BS98" s="36">
        <f t="shared" si="180"/>
        <v>0.0255434969062078</v>
      </c>
      <c r="BT98" s="35">
        <f>BT99+BT100</f>
        <v>37416.8328157716</v>
      </c>
      <c r="BU98" s="36">
        <f t="shared" si="181"/>
        <v>0.0681348204742163</v>
      </c>
      <c r="BV98" s="35">
        <f t="shared" si="182"/>
        <v>370727.968844607</v>
      </c>
      <c r="BW98" s="36">
        <f t="shared" si="183"/>
        <v>0.0330162593057357</v>
      </c>
      <c r="BX98" s="36"/>
      <c r="BY98" s="41">
        <f>BY99+BY100</f>
        <v>23278.7585792029</v>
      </c>
      <c r="BZ98" s="721">
        <f t="shared" si="184"/>
        <v>-0.000834061143848874</v>
      </c>
      <c r="CA98" s="41">
        <f>CA99+CA100</f>
        <v>29033.3054280954</v>
      </c>
      <c r="CB98" s="721">
        <f t="shared" si="185"/>
        <v>0.357280179186236</v>
      </c>
      <c r="CC98" s="41">
        <f>SUM(CC99:CC100)</f>
        <v>30035.4765892871</v>
      </c>
      <c r="CD98" s="721">
        <f t="shared" si="186"/>
        <v>0.210299183984874</v>
      </c>
      <c r="CE98" s="41">
        <v>30563.5980039106</v>
      </c>
      <c r="CF98" s="721">
        <f t="shared" si="187"/>
        <v>0.22065073374607</v>
      </c>
      <c r="CG98" s="41">
        <v>31863.9281888462</v>
      </c>
      <c r="CH98" s="721">
        <f t="shared" si="188"/>
        <v>0.189215082420314</v>
      </c>
      <c r="CI98" s="41">
        <f>CI99+CI100</f>
        <v>29782.5762904959</v>
      </c>
      <c r="CJ98" s="721">
        <f t="shared" si="189"/>
        <v>0.322186776650609</v>
      </c>
      <c r="CK98" s="41">
        <f>CK99+CK100</f>
        <v>28630.5989919084</v>
      </c>
      <c r="CL98" s="721">
        <f t="shared" si="190"/>
        <v>0.271360785547667</v>
      </c>
      <c r="CM98" s="41">
        <v>29788.4546771704</v>
      </c>
      <c r="CN98" s="721">
        <f t="shared" si="191"/>
        <v>0.282848817798756</v>
      </c>
      <c r="CO98" s="41">
        <f>SUM(CO99:CO100)</f>
        <v>28083.8873139684</v>
      </c>
      <c r="CP98" s="721">
        <f t="shared" si="192"/>
        <v>0.184892386129041</v>
      </c>
      <c r="CQ98" s="41">
        <f>SUM(CQ99:CQ100)</f>
        <v>30143.4630846893</v>
      </c>
      <c r="CR98" s="721">
        <f t="shared" si="193"/>
        <v>0.146410600568045</v>
      </c>
      <c r="CS98" s="41">
        <f>CS99+CS100</f>
        <v>32645.0099376309</v>
      </c>
      <c r="CT98" s="721">
        <f t="shared" si="194"/>
        <v>0.0874407843560847</v>
      </c>
      <c r="CU98" s="41">
        <f>CU99+CU100</f>
        <v>35030.0655858778</v>
      </c>
      <c r="CV98" s="721">
        <f t="shared" si="195"/>
        <v>0.166889581884947</v>
      </c>
      <c r="CW98" s="41">
        <f t="shared" si="196"/>
        <v>358879.122671083</v>
      </c>
      <c r="CX98" s="721">
        <f t="shared" si="197"/>
        <v>0.203423525743986</v>
      </c>
      <c r="CY98" s="721"/>
      <c r="CZ98" s="721">
        <f t="shared" si="198"/>
        <v>0.073060343764747</v>
      </c>
      <c r="DA98" s="721">
        <f t="shared" si="199"/>
        <v>0.0829880377683678</v>
      </c>
      <c r="DB98" s="721"/>
      <c r="DC98" s="721"/>
      <c r="DD98" s="721"/>
      <c r="DE98" s="721"/>
      <c r="DF98" s="721"/>
      <c r="DG98" s="721"/>
      <c r="DH98" s="721"/>
      <c r="DI98" s="721"/>
      <c r="DJ98" s="721"/>
      <c r="DK98" s="721"/>
      <c r="DL98" s="206"/>
      <c r="DM98" s="41">
        <v>23298.1906947834</v>
      </c>
      <c r="DN98" s="41">
        <v>21390.7974737408</v>
      </c>
      <c r="DO98" s="41">
        <v>24816.5717921053</v>
      </c>
      <c r="DP98" s="41">
        <v>25038.7741218273</v>
      </c>
      <c r="DQ98" s="41">
        <v>26794.0834756284</v>
      </c>
      <c r="DR98" s="41">
        <v>22525.2413777286</v>
      </c>
      <c r="DS98" s="41">
        <v>22519.6492745174</v>
      </c>
      <c r="DT98" s="41">
        <v>23220.549657819</v>
      </c>
      <c r="DU98" s="41">
        <v>23701.6353913088</v>
      </c>
      <c r="DV98" s="41">
        <v>26293.775606884</v>
      </c>
      <c r="DW98" s="41">
        <v>28595.8427657799</v>
      </c>
      <c r="DX98" s="41">
        <v>30020.0345685593</v>
      </c>
      <c r="DY98" s="721" t="e">
        <v>#DIV/0!</v>
      </c>
      <c r="DZ98" s="41">
        <f t="shared" si="200"/>
        <v>298215.146200682</v>
      </c>
      <c r="EA98" s="36">
        <f t="shared" si="201"/>
        <v>-0.0580865896543208</v>
      </c>
      <c r="EB98" s="36"/>
      <c r="EC98" s="737">
        <f t="shared" ref="EC98:EN98" si="207">EC99+EC100</f>
        <v>30422.7571608031</v>
      </c>
      <c r="ED98" s="737">
        <f t="shared" si="207"/>
        <v>21953.228361346</v>
      </c>
      <c r="EE98" s="737">
        <f t="shared" si="207"/>
        <v>24577.8275399596</v>
      </c>
      <c r="EF98" s="737">
        <f t="shared" si="207"/>
        <v>29202.0261424629</v>
      </c>
      <c r="EG98" s="737">
        <f t="shared" si="207"/>
        <v>29268.6535851064</v>
      </c>
      <c r="EH98" s="737">
        <f t="shared" si="207"/>
        <v>28427.2905991589</v>
      </c>
      <c r="EI98" s="737">
        <f t="shared" si="207"/>
        <v>24393.7076390311</v>
      </c>
      <c r="EJ98" s="737">
        <f t="shared" si="207"/>
        <v>27466.3345839576</v>
      </c>
      <c r="EK98" s="737">
        <f t="shared" si="207"/>
        <v>24637.1092993635</v>
      </c>
      <c r="EL98" s="737">
        <f t="shared" si="207"/>
        <v>23492.927876622</v>
      </c>
      <c r="EM98" s="50">
        <f t="shared" si="207"/>
        <v>27154.9608847984</v>
      </c>
      <c r="EN98" s="50">
        <f t="shared" si="207"/>
        <v>25608.8673868673</v>
      </c>
      <c r="EO98" s="724">
        <f t="shared" si="202"/>
        <v>316605.691059477</v>
      </c>
      <c r="EP98" s="36"/>
      <c r="EQ98" s="738"/>
    </row>
    <row r="99" s="206" customFormat="1" ht="27" customHeight="1" spans="1:147">
      <c r="A99" s="45"/>
      <c r="B99" s="707" t="s">
        <v>92</v>
      </c>
      <c r="C99" s="35">
        <v>15138.1969</v>
      </c>
      <c r="D99" s="36">
        <f t="shared" si="146"/>
        <v>0.211764052323864</v>
      </c>
      <c r="E99" s="35">
        <v>15041.4526</v>
      </c>
      <c r="F99" s="36">
        <f t="shared" si="147"/>
        <v>0.250190126494804</v>
      </c>
      <c r="G99" s="35">
        <v>15603.1688</v>
      </c>
      <c r="H99" s="36">
        <f t="shared" si="148"/>
        <v>0.229996779875991</v>
      </c>
      <c r="I99" s="35">
        <v>14768.9216</v>
      </c>
      <c r="J99" s="36">
        <f t="shared" si="149"/>
        <v>0.0463581562205646</v>
      </c>
      <c r="K99" s="35">
        <v>14486.1337</v>
      </c>
      <c r="L99" s="36">
        <f t="shared" si="150"/>
        <v>0.0847459905298491</v>
      </c>
      <c r="M99" s="35">
        <v>14871.8996</v>
      </c>
      <c r="N99" s="36">
        <f t="shared" si="151"/>
        <v>0.04875473814222</v>
      </c>
      <c r="O99" s="35">
        <v>14935.6341</v>
      </c>
      <c r="P99" s="36">
        <f t="shared" si="152"/>
        <v>0.00667922687486877</v>
      </c>
      <c r="Q99" s="127"/>
      <c r="R99" s="127"/>
      <c r="S99" s="35">
        <f t="shared" si="153"/>
        <v>104845.4073</v>
      </c>
      <c r="T99" s="36">
        <f t="shared" si="154"/>
        <v>-0.0385038335540969</v>
      </c>
      <c r="U99" s="36"/>
      <c r="V99" s="35">
        <v>12492.6935</v>
      </c>
      <c r="W99" s="36">
        <f t="shared" si="155"/>
        <v>0.0222506206787874</v>
      </c>
      <c r="X99" s="35">
        <v>12031.3321</v>
      </c>
      <c r="Y99" s="36">
        <f t="shared" si="156"/>
        <v>0.375965749817219</v>
      </c>
      <c r="Z99" s="35">
        <v>12685.5363</v>
      </c>
      <c r="AA99" s="36">
        <f t="shared" si="157"/>
        <v>0.0584596377883135</v>
      </c>
      <c r="AB99" s="35">
        <v>14114.595</v>
      </c>
      <c r="AC99" s="36">
        <f t="shared" si="158"/>
        <v>0.00220681408994539</v>
      </c>
      <c r="AD99" s="35">
        <v>13354.4017</v>
      </c>
      <c r="AE99" s="36">
        <f t="shared" si="159"/>
        <v>-0.00906883253929514</v>
      </c>
      <c r="AF99" s="35">
        <v>14180.5315</v>
      </c>
      <c r="AG99" s="36">
        <f t="shared" si="160"/>
        <v>-0.0245150138194145</v>
      </c>
      <c r="AH99" s="35">
        <v>14836.5375</v>
      </c>
      <c r="AI99" s="36">
        <f t="shared" si="161"/>
        <v>0.100632986440272</v>
      </c>
      <c r="AJ99" s="35">
        <v>15348.3925</v>
      </c>
      <c r="AK99" s="36">
        <f t="shared" si="162"/>
        <v>0.173631306225886</v>
      </c>
      <c r="AL99" s="35">
        <v>14425.374</v>
      </c>
      <c r="AM99" s="36">
        <f t="shared" si="163"/>
        <v>0.0802185194331477</v>
      </c>
      <c r="AN99" s="35">
        <v>14523.3715</v>
      </c>
      <c r="AO99" s="36">
        <f t="shared" si="164"/>
        <v>0.105566112368942</v>
      </c>
      <c r="AP99" s="35">
        <v>15265.9878</v>
      </c>
      <c r="AQ99" s="36">
        <f t="shared" si="165"/>
        <v>0.0903516946986531</v>
      </c>
      <c r="AR99" s="35">
        <v>16675.3415</v>
      </c>
      <c r="AS99" s="36">
        <f t="shared" si="166"/>
        <v>0.144784135274068</v>
      </c>
      <c r="AT99" s="35">
        <f t="shared" si="167"/>
        <v>169934.0949</v>
      </c>
      <c r="AU99" s="36">
        <f t="shared" si="168"/>
        <v>0.0847153204708893</v>
      </c>
      <c r="AV99" s="36"/>
      <c r="AW99" s="35">
        <f t="shared" si="169"/>
        <v>142096.0271</v>
      </c>
      <c r="AX99" s="35">
        <v>12220.7737</v>
      </c>
      <c r="AY99" s="36">
        <f t="shared" si="170"/>
        <v>0.108741332099219</v>
      </c>
      <c r="AZ99" s="35">
        <v>8743.9183</v>
      </c>
      <c r="BA99" s="36">
        <f t="shared" si="171"/>
        <v>0.0161374217380066</v>
      </c>
      <c r="BB99" s="35">
        <v>11984.9032</v>
      </c>
      <c r="BC99" s="36">
        <f t="shared" si="172"/>
        <v>0.0982319056585059</v>
      </c>
      <c r="BD99" s="35">
        <v>14083.5153</v>
      </c>
      <c r="BE99" s="36">
        <f t="shared" si="173"/>
        <v>0.164398359778835</v>
      </c>
      <c r="BF99" s="35">
        <v>13476.6189</v>
      </c>
      <c r="BG99" s="36">
        <f t="shared" si="174"/>
        <v>0.199778980520654</v>
      </c>
      <c r="BH99" s="35">
        <v>14536.9039</v>
      </c>
      <c r="BI99" s="36">
        <f t="shared" si="175"/>
        <v>0.0215934533087068</v>
      </c>
      <c r="BJ99" s="35">
        <v>13480.0044</v>
      </c>
      <c r="BK99" s="36">
        <f t="shared" si="176"/>
        <v>0.0799550985580881</v>
      </c>
      <c r="BL99" s="35">
        <v>13077.6952</v>
      </c>
      <c r="BM99" s="36">
        <f t="shared" si="177"/>
        <v>0.114115757348656</v>
      </c>
      <c r="BN99" s="35">
        <v>13354.1258</v>
      </c>
      <c r="BO99" s="36">
        <f t="shared" si="178"/>
        <v>0.181508753531332</v>
      </c>
      <c r="BP99" s="35">
        <v>13136.5925</v>
      </c>
      <c r="BQ99" s="36">
        <f t="shared" si="179"/>
        <v>0.100788412519013</v>
      </c>
      <c r="BR99" s="35">
        <v>14000.9759</v>
      </c>
      <c r="BS99" s="36">
        <f t="shared" si="180"/>
        <v>0.0573504439376666</v>
      </c>
      <c r="BT99" s="35">
        <v>14566.3632</v>
      </c>
      <c r="BU99" s="36">
        <f t="shared" si="181"/>
        <v>0.0330992021716925</v>
      </c>
      <c r="BV99" s="35">
        <f t="shared" si="182"/>
        <v>156662.3903</v>
      </c>
      <c r="BW99" s="36">
        <f t="shared" si="183"/>
        <v>0.0963436991634001</v>
      </c>
      <c r="BX99" s="36"/>
      <c r="BY99" s="50">
        <v>11022.2045</v>
      </c>
      <c r="BZ99" s="721">
        <f t="shared" si="184"/>
        <v>0.952757762962779</v>
      </c>
      <c r="CA99" s="50">
        <v>8605.0549</v>
      </c>
      <c r="CB99" s="721">
        <f t="shared" si="185"/>
        <v>0.861025614296738</v>
      </c>
      <c r="CC99" s="41">
        <v>10912.9075</v>
      </c>
      <c r="CD99" s="721">
        <f t="shared" si="186"/>
        <v>1.31032828385527</v>
      </c>
      <c r="CE99" s="41">
        <v>12095.1006</v>
      </c>
      <c r="CF99" s="721">
        <f t="shared" si="187"/>
        <v>1.56996719457256</v>
      </c>
      <c r="CG99" s="41">
        <v>11232.5846</v>
      </c>
      <c r="CH99" s="721">
        <f t="shared" si="188"/>
        <v>1.2744102417162</v>
      </c>
      <c r="CI99" s="702">
        <v>14229.6369</v>
      </c>
      <c r="CJ99" s="721">
        <f t="shared" si="189"/>
        <v>1.93972859270341</v>
      </c>
      <c r="CK99" s="702">
        <v>12482.0045</v>
      </c>
      <c r="CL99" s="721">
        <f t="shared" si="190"/>
        <v>1.49186068000382</v>
      </c>
      <c r="CM99" s="41">
        <v>11738.1835</v>
      </c>
      <c r="CN99" s="721">
        <f t="shared" si="191"/>
        <v>1.57936493723076</v>
      </c>
      <c r="CO99" s="702">
        <v>11302.6042</v>
      </c>
      <c r="CP99" s="721">
        <f t="shared" si="192"/>
        <v>1.40216334466638</v>
      </c>
      <c r="CQ99" s="702">
        <v>11933.8034</v>
      </c>
      <c r="CR99" s="721">
        <f t="shared" si="193"/>
        <v>0.887496043729515</v>
      </c>
      <c r="CS99" s="50">
        <v>13241.5662</v>
      </c>
      <c r="CT99" s="721">
        <f t="shared" si="194"/>
        <v>0.0196623711975694</v>
      </c>
      <c r="CU99" s="50">
        <v>14099.6752</v>
      </c>
      <c r="CV99" s="721">
        <f t="shared" si="195"/>
        <v>0.085740767398615</v>
      </c>
      <c r="CW99" s="41">
        <f t="shared" si="196"/>
        <v>142895.326</v>
      </c>
      <c r="CX99" s="721">
        <f t="shared" si="197"/>
        <v>0.981037246138063</v>
      </c>
      <c r="CY99" s="721"/>
      <c r="CZ99" s="721">
        <f t="shared" si="198"/>
        <v>0.0648041921204154</v>
      </c>
      <c r="DA99" s="721">
        <f t="shared" si="199"/>
        <v>0.109584744793098</v>
      </c>
      <c r="DB99" s="721"/>
      <c r="DC99" s="721"/>
      <c r="DD99" s="721"/>
      <c r="DE99" s="721"/>
      <c r="DF99" s="721"/>
      <c r="DG99" s="721"/>
      <c r="DH99" s="721"/>
      <c r="DI99" s="721"/>
      <c r="DJ99" s="721"/>
      <c r="DK99" s="721"/>
      <c r="DL99" s="206"/>
      <c r="DM99" s="50">
        <v>5644.43</v>
      </c>
      <c r="DN99" s="50">
        <v>4623.824</v>
      </c>
      <c r="DO99" s="41">
        <v>4723.5311</v>
      </c>
      <c r="DP99" s="41">
        <v>4706.3249</v>
      </c>
      <c r="DQ99" s="41">
        <v>4938.6801</v>
      </c>
      <c r="DR99" s="41">
        <v>4840.4594</v>
      </c>
      <c r="DS99" s="41">
        <v>5009.1101</v>
      </c>
      <c r="DT99" s="41">
        <v>4550.8037</v>
      </c>
      <c r="DU99" s="41">
        <v>4705.1772</v>
      </c>
      <c r="DV99" s="41">
        <v>6322.5581</v>
      </c>
      <c r="DW99" s="41">
        <v>9080.4448</v>
      </c>
      <c r="DX99" s="41">
        <v>12986.2262</v>
      </c>
      <c r="DY99" s="721">
        <v>1.43881576804964</v>
      </c>
      <c r="DZ99" s="41">
        <f t="shared" si="200"/>
        <v>72131.5696</v>
      </c>
      <c r="EA99" s="36">
        <f t="shared" si="201"/>
        <v>0.171753404763392</v>
      </c>
      <c r="EB99" s="723"/>
      <c r="EC99" s="199">
        <v>5937.38198</v>
      </c>
      <c r="ED99" s="35">
        <v>4647.01992</v>
      </c>
      <c r="EE99" s="35">
        <v>5097.6566</v>
      </c>
      <c r="EF99" s="35">
        <v>4827.42543</v>
      </c>
      <c r="EG99" s="35">
        <v>4667.653</v>
      </c>
      <c r="EH99" s="35">
        <v>5397.8974</v>
      </c>
      <c r="EI99" s="35">
        <v>5396.7148</v>
      </c>
      <c r="EJ99" s="35">
        <v>5297.9485</v>
      </c>
      <c r="EK99" s="35">
        <v>4758.776</v>
      </c>
      <c r="EL99" s="35">
        <v>5152.8712</v>
      </c>
      <c r="EM99" s="35">
        <v>5052.5071</v>
      </c>
      <c r="EN99" s="35">
        <v>5324.8082</v>
      </c>
      <c r="EO99" s="744">
        <f t="shared" si="202"/>
        <v>61558.66013</v>
      </c>
      <c r="EP99" s="36"/>
      <c r="EQ99" s="740">
        <f>SUM(EC99:EN99)</f>
        <v>61558.66013</v>
      </c>
    </row>
    <row r="100" s="206" customFormat="1" ht="27" customHeight="1" spans="1:147">
      <c r="A100" s="29"/>
      <c r="B100" s="707" t="s">
        <v>93</v>
      </c>
      <c r="C100" s="35">
        <v>19752.8399620713</v>
      </c>
      <c r="D100" s="36">
        <f t="shared" si="146"/>
        <v>0.101516528661951</v>
      </c>
      <c r="E100" s="35">
        <v>10381.4928071539</v>
      </c>
      <c r="F100" s="36">
        <f t="shared" si="147"/>
        <v>-0.394601354219405</v>
      </c>
      <c r="G100" s="35">
        <v>17495.5394566066</v>
      </c>
      <c r="H100" s="36">
        <f t="shared" si="148"/>
        <v>-0.157307174156024</v>
      </c>
      <c r="I100" s="35">
        <v>19875.881184742</v>
      </c>
      <c r="J100" s="36">
        <f t="shared" si="149"/>
        <v>-0.0251153098903801</v>
      </c>
      <c r="K100" s="35">
        <v>21126.1871172245</v>
      </c>
      <c r="L100" s="36">
        <f t="shared" si="150"/>
        <v>-0.0608730294152324</v>
      </c>
      <c r="M100" s="35">
        <v>17745.8661365831</v>
      </c>
      <c r="N100" s="36">
        <f t="shared" si="151"/>
        <v>-0.00543728139589805</v>
      </c>
      <c r="O100" s="35">
        <v>16814.7690487241</v>
      </c>
      <c r="P100" s="36">
        <f t="shared" si="152"/>
        <v>-0.0197975687917035</v>
      </c>
      <c r="Q100" s="127"/>
      <c r="R100" s="127"/>
      <c r="S100" s="35">
        <f t="shared" si="153"/>
        <v>123192.575713106</v>
      </c>
      <c r="T100" s="36">
        <f t="shared" si="154"/>
        <v>-0.185373484995435</v>
      </c>
      <c r="U100" s="36"/>
      <c r="V100" s="35">
        <v>17932.4045060547</v>
      </c>
      <c r="W100" s="36">
        <f t="shared" si="155"/>
        <v>-0.0962554284471634</v>
      </c>
      <c r="X100" s="35">
        <v>17148.1929791371</v>
      </c>
      <c r="Y100" s="36">
        <f t="shared" si="156"/>
        <v>0.56354774566719</v>
      </c>
      <c r="Z100" s="35">
        <v>20761.4671918969</v>
      </c>
      <c r="AA100" s="36">
        <f t="shared" si="157"/>
        <v>0.19515349399307</v>
      </c>
      <c r="AB100" s="35">
        <v>20387.9303741113</v>
      </c>
      <c r="AC100" s="36">
        <f t="shared" si="158"/>
        <v>0.149579496170967</v>
      </c>
      <c r="AD100" s="35">
        <v>22495.5600029992</v>
      </c>
      <c r="AE100" s="36">
        <f t="shared" si="159"/>
        <v>0.131051777045123</v>
      </c>
      <c r="AF100" s="35">
        <v>17842.8829118891</v>
      </c>
      <c r="AG100" s="36">
        <f t="shared" si="160"/>
        <v>0.146528612327671</v>
      </c>
      <c r="AH100" s="35">
        <v>17154.3841489931</v>
      </c>
      <c r="AI100" s="36">
        <f t="shared" si="161"/>
        <v>0.036472366267833</v>
      </c>
      <c r="AJ100" s="35">
        <v>17503.0138281731</v>
      </c>
      <c r="AK100" s="36">
        <f t="shared" si="162"/>
        <v>-0.0346201494976441</v>
      </c>
      <c r="AL100" s="35">
        <v>16727.7751360885</v>
      </c>
      <c r="AM100" s="36">
        <f t="shared" si="163"/>
        <v>-0.0232858631912122</v>
      </c>
      <c r="AN100" s="35">
        <v>16106.288377897</v>
      </c>
      <c r="AO100" s="36">
        <f t="shared" si="164"/>
        <v>-0.132263465665844</v>
      </c>
      <c r="AP100" s="35">
        <v>17176.5635954631</v>
      </c>
      <c r="AQ100" s="36">
        <f t="shared" si="165"/>
        <v>-0.118151235296787</v>
      </c>
      <c r="AR100" s="35">
        <v>18479.7056188582</v>
      </c>
      <c r="AS100" s="36">
        <f t="shared" si="166"/>
        <v>-0.191276768942055</v>
      </c>
      <c r="AT100" s="35">
        <f t="shared" si="167"/>
        <v>219716.168671561</v>
      </c>
      <c r="AU100" s="36">
        <f t="shared" si="168"/>
        <v>0.0263965377589983</v>
      </c>
      <c r="AV100" s="36"/>
      <c r="AW100" s="35">
        <f t="shared" si="169"/>
        <v>191215.108928835</v>
      </c>
      <c r="AX100" s="35">
        <v>19842.3371719321</v>
      </c>
      <c r="AY100" s="36">
        <f t="shared" si="170"/>
        <v>0.618916462466466</v>
      </c>
      <c r="AZ100" s="35">
        <v>10967.4891775177</v>
      </c>
      <c r="BA100" s="36">
        <f t="shared" si="171"/>
        <v>-0.463121466890477</v>
      </c>
      <c r="BB100" s="35">
        <v>17371.3814135553</v>
      </c>
      <c r="BC100" s="36">
        <f t="shared" si="172"/>
        <v>-0.0915770086935052</v>
      </c>
      <c r="BD100" s="35">
        <v>17735.1200521753</v>
      </c>
      <c r="BE100" s="36">
        <f t="shared" si="173"/>
        <v>-0.0397096382935846</v>
      </c>
      <c r="BF100" s="35">
        <v>19889.0629585225</v>
      </c>
      <c r="BG100" s="36">
        <f t="shared" si="174"/>
        <v>-0.035978298123298</v>
      </c>
      <c r="BH100" s="35">
        <v>15562.5273717894</v>
      </c>
      <c r="BI100" s="36">
        <f t="shared" si="175"/>
        <v>0.000616473905849624</v>
      </c>
      <c r="BJ100" s="35">
        <v>16550.7395153845</v>
      </c>
      <c r="BK100" s="36">
        <f t="shared" si="176"/>
        <v>0.0249027878975847</v>
      </c>
      <c r="BL100" s="35">
        <v>18130.7014218963</v>
      </c>
      <c r="BM100" s="36">
        <f t="shared" si="177"/>
        <v>0.00445590229290449</v>
      </c>
      <c r="BN100" s="35">
        <v>17126.5823905683</v>
      </c>
      <c r="BO100" s="36">
        <f t="shared" si="178"/>
        <v>0.0205764526022734</v>
      </c>
      <c r="BP100" s="35">
        <v>18561.2657075179</v>
      </c>
      <c r="BQ100" s="36">
        <f t="shared" si="179"/>
        <v>0.0193087640799916</v>
      </c>
      <c r="BR100" s="35">
        <v>19477.9017479759</v>
      </c>
      <c r="BS100" s="36">
        <f t="shared" si="180"/>
        <v>0.0038373605918518</v>
      </c>
      <c r="BT100" s="35">
        <v>22850.4696157716</v>
      </c>
      <c r="BU100" s="36">
        <f t="shared" si="181"/>
        <v>0.0917364270085148</v>
      </c>
      <c r="BV100" s="35">
        <f t="shared" si="182"/>
        <v>214065.578544607</v>
      </c>
      <c r="BW100" s="36">
        <f t="shared" si="183"/>
        <v>-0.00888130570923207</v>
      </c>
      <c r="BX100" s="36"/>
      <c r="BY100" s="50">
        <v>12256.5540792029</v>
      </c>
      <c r="BZ100" s="721">
        <f t="shared" si="184"/>
        <v>-0.305725601977563</v>
      </c>
      <c r="CA100" s="50">
        <v>20428.2505280954</v>
      </c>
      <c r="CB100" s="721">
        <f t="shared" si="185"/>
        <v>0.218362428979125</v>
      </c>
      <c r="CC100" s="41">
        <v>19122.5690892871</v>
      </c>
      <c r="CD100" s="721">
        <f t="shared" si="186"/>
        <v>-0.0482988920238193</v>
      </c>
      <c r="CE100" s="41">
        <v>18468.4974039106</v>
      </c>
      <c r="CF100" s="721">
        <f t="shared" si="187"/>
        <v>-0.0916737475933648</v>
      </c>
      <c r="CG100" s="41">
        <v>20631.3435888462</v>
      </c>
      <c r="CH100" s="721">
        <f t="shared" si="188"/>
        <v>-0.0560071926262036</v>
      </c>
      <c r="CI100" s="50">
        <v>15552.9393904959</v>
      </c>
      <c r="CJ100" s="721">
        <f t="shared" si="189"/>
        <v>-0.120546727119251</v>
      </c>
      <c r="CK100" s="702">
        <v>16148.5944919084</v>
      </c>
      <c r="CL100" s="721">
        <f t="shared" si="190"/>
        <v>-0.0777785691825525</v>
      </c>
      <c r="CM100" s="41">
        <v>18050.2711771704</v>
      </c>
      <c r="CN100" s="721">
        <f t="shared" si="191"/>
        <v>-0.0331806754118772</v>
      </c>
      <c r="CO100" s="41">
        <v>16781.2831139684</v>
      </c>
      <c r="CP100" s="721">
        <f t="shared" si="192"/>
        <v>-0.116609899331333</v>
      </c>
      <c r="CQ100" s="41">
        <v>18209.6596846893</v>
      </c>
      <c r="CR100" s="721">
        <f t="shared" si="193"/>
        <v>-0.088204828853699</v>
      </c>
      <c r="CS100" s="41">
        <v>19403.4437376309</v>
      </c>
      <c r="CT100" s="721">
        <f t="shared" si="194"/>
        <v>0.139113656664439</v>
      </c>
      <c r="CU100" s="41">
        <v>20930.3903858778</v>
      </c>
      <c r="CV100" s="721">
        <f t="shared" si="195"/>
        <v>0.22875577398832</v>
      </c>
      <c r="CW100" s="41">
        <f t="shared" si="196"/>
        <v>215983.796671083</v>
      </c>
      <c r="CX100" s="721">
        <f t="shared" si="197"/>
        <v>-0.044672771377098</v>
      </c>
      <c r="CY100" s="721"/>
      <c r="CZ100" s="721">
        <f t="shared" si="198"/>
        <v>0.0786946208566859</v>
      </c>
      <c r="DA100" s="721">
        <f t="shared" si="199"/>
        <v>0.0655577354883428</v>
      </c>
      <c r="DB100" s="721"/>
      <c r="DC100" s="721"/>
      <c r="DD100" s="721"/>
      <c r="DE100" s="721"/>
      <c r="DF100" s="721"/>
      <c r="DG100" s="721"/>
      <c r="DH100" s="721"/>
      <c r="DI100" s="721"/>
      <c r="DJ100" s="721"/>
      <c r="DK100" s="721"/>
      <c r="DL100" s="21"/>
      <c r="DM100" s="745">
        <v>17653.7606947834</v>
      </c>
      <c r="DN100" s="745">
        <v>16766.9734737408</v>
      </c>
      <c r="DO100" s="727">
        <v>20093.0406921053</v>
      </c>
      <c r="DP100" s="727">
        <v>20332.4492218273</v>
      </c>
      <c r="DQ100" s="727">
        <v>21855.4033756284</v>
      </c>
      <c r="DR100" s="727">
        <v>17684.7819777286</v>
      </c>
      <c r="DS100" s="727">
        <v>17510.5391745174</v>
      </c>
      <c r="DT100" s="727">
        <v>18669.745957819</v>
      </c>
      <c r="DU100" s="727">
        <v>18996.4581913088</v>
      </c>
      <c r="DV100" s="727">
        <v>19971.217506884</v>
      </c>
      <c r="DW100" s="727">
        <v>19515.3979657799</v>
      </c>
      <c r="DX100" s="727">
        <v>17033.8083685593</v>
      </c>
      <c r="DY100" s="728" t="e">
        <v>#DIV/0!</v>
      </c>
      <c r="DZ100" s="727">
        <f t="shared" si="200"/>
        <v>226083.576600682</v>
      </c>
      <c r="EA100" s="729">
        <f t="shared" si="201"/>
        <v>-0.113561229171114</v>
      </c>
      <c r="EB100" s="730"/>
      <c r="EC100" s="199">
        <v>24485.3751808031</v>
      </c>
      <c r="ED100" s="35">
        <v>17306.208441346</v>
      </c>
      <c r="EE100" s="35">
        <v>19480.1709399596</v>
      </c>
      <c r="EF100" s="35">
        <v>24374.6007124629</v>
      </c>
      <c r="EG100" s="35">
        <v>24601.0005851064</v>
      </c>
      <c r="EH100" s="35">
        <v>23029.3931991589</v>
      </c>
      <c r="EI100" s="35">
        <v>18996.9928390311</v>
      </c>
      <c r="EJ100" s="35">
        <v>22168.3860839576</v>
      </c>
      <c r="EK100" s="35">
        <v>19878.3332993635</v>
      </c>
      <c r="EL100" s="35">
        <v>18340.056676622</v>
      </c>
      <c r="EM100" s="35">
        <v>22102.4537847984</v>
      </c>
      <c r="EN100" s="35">
        <v>20284.0591868673</v>
      </c>
      <c r="EO100" s="744">
        <f t="shared" si="202"/>
        <v>255047.030929477</v>
      </c>
      <c r="EP100" s="36"/>
      <c r="EQ100" s="740">
        <f>SUM(EC100:EN100)</f>
        <v>255047.030929477</v>
      </c>
    </row>
    <row r="101" s="206" customFormat="1" ht="27" customHeight="1" spans="1:147">
      <c r="A101" s="707" t="s">
        <v>110</v>
      </c>
      <c r="B101" s="707" t="s">
        <v>88</v>
      </c>
      <c r="C101" s="35">
        <v>301.71792411045</v>
      </c>
      <c r="D101" s="36">
        <f t="shared" ref="D101:D112" si="208">C101/V101-1</f>
        <v>0.27755699387433</v>
      </c>
      <c r="E101" s="35">
        <v>201.272396478056</v>
      </c>
      <c r="F101" s="36">
        <f t="shared" ref="F101:F112" si="209">E101/X101-1</f>
        <v>-0.113917099394134</v>
      </c>
      <c r="G101" s="35">
        <v>308.657440102915</v>
      </c>
      <c r="H101" s="36">
        <f t="shared" ref="H101:H112" si="210">G101/Z101-1</f>
        <v>-0.0111793017693842</v>
      </c>
      <c r="I101" s="35">
        <v>293.483926940504</v>
      </c>
      <c r="J101" s="36">
        <f t="shared" ref="J101:J112" si="211">I101/AB101-1</f>
        <v>0.0173630639342832</v>
      </c>
      <c r="K101" s="35">
        <v>305.633445513474</v>
      </c>
      <c r="L101" s="36">
        <f t="shared" ref="L101:L112" si="212">K101/AD101-1</f>
        <v>0.0516904119200476</v>
      </c>
      <c r="M101" s="35">
        <v>325.474117174256</v>
      </c>
      <c r="N101" s="36">
        <f t="shared" ref="N101:N112" si="213">M101/AF101-1</f>
        <v>0.125078509064251</v>
      </c>
      <c r="O101" s="35">
        <v>271.553143247571</v>
      </c>
      <c r="P101" s="36">
        <f t="shared" ref="P101:P112" si="214">O101/AH101-1</f>
        <v>0.0165616996663225</v>
      </c>
      <c r="Q101" s="127"/>
      <c r="R101" s="127"/>
      <c r="S101" s="35">
        <f t="shared" ref="S101:S112" si="215">C101+E101+G101+I101+K101+M101+O101+Q101</f>
        <v>2007.79239356723</v>
      </c>
      <c r="T101" s="36">
        <f t="shared" ref="T101:T112" si="216">S101/SUM(V101,X101,Z101,AB101,AD101,AF101,AH101,AJ101)-1</f>
        <v>-0.0687231185620147</v>
      </c>
      <c r="U101" s="36"/>
      <c r="V101" s="35">
        <v>236.16787787718</v>
      </c>
      <c r="W101" s="36">
        <f t="shared" ref="W101:W112" si="217">V101/AX101-1</f>
        <v>-0.0280003864356783</v>
      </c>
      <c r="X101" s="35">
        <v>227.148494052232</v>
      </c>
      <c r="Y101" s="36">
        <f t="shared" ref="Y101:Y112" si="218">X101/AZ101-1</f>
        <v>1.10318406287778</v>
      </c>
      <c r="Z101" s="35">
        <v>312.147025901888</v>
      </c>
      <c r="AA101" s="36">
        <f t="shared" ref="AA101:AA112" si="219">Z101/BB101-1</f>
        <v>0.613224634473593</v>
      </c>
      <c r="AB101" s="35">
        <v>288.475115074024</v>
      </c>
      <c r="AC101" s="36">
        <f t="shared" ref="AC101:AC112" si="220">AB101/BD101-1</f>
        <v>0.316401229042131</v>
      </c>
      <c r="AD101" s="35">
        <v>290.611611601066</v>
      </c>
      <c r="AE101" s="36">
        <f t="shared" ref="AE101:AE112" si="221">AD101/BF101-1</f>
        <v>0.224067400847777</v>
      </c>
      <c r="AF101" s="35">
        <v>289.290138023309</v>
      </c>
      <c r="AG101" s="36">
        <f t="shared" ref="AG101:AG112" si="222">AF101/BH101-1</f>
        <v>0.136127089265435</v>
      </c>
      <c r="AH101" s="35">
        <v>267.129032440142</v>
      </c>
      <c r="AI101" s="36">
        <f t="shared" ref="AI101:AI112" si="223">AH101/BJ101-1</f>
        <v>0.16370692658532</v>
      </c>
      <c r="AJ101" s="35">
        <v>244.987148904286</v>
      </c>
      <c r="AK101" s="36">
        <f t="shared" ref="AK101:AK112" si="224">AJ101/BL101-1</f>
        <v>0.128904723403616</v>
      </c>
      <c r="AL101" s="35">
        <v>254.392793973787</v>
      </c>
      <c r="AM101" s="36">
        <f t="shared" ref="AM101:AM112" si="225">AL101/BN101-1</f>
        <v>0.164322515239865</v>
      </c>
      <c r="AN101" s="35">
        <v>229.927786919468</v>
      </c>
      <c r="AO101" s="36">
        <f t="shared" ref="AO101:AO112" si="226">AN101/BP101-1</f>
        <v>0.06141694489074</v>
      </c>
      <c r="AP101" s="35">
        <v>273.680354716554</v>
      </c>
      <c r="AQ101" s="36">
        <f t="shared" ref="AQ101:AQ112" si="227">AP101/BR101-1</f>
        <v>0.143616416280635</v>
      </c>
      <c r="AR101" s="35">
        <v>288.365511575898</v>
      </c>
      <c r="AS101" s="36">
        <f t="shared" ref="AS101:AS112" si="228">AR101/BT101-1</f>
        <v>0.168091043787653</v>
      </c>
      <c r="AT101" s="35">
        <f t="shared" ref="AT101:AT112" si="229">V101+X101+Z101+AB101+AD101+AF101+AH101+AJ101+AL101+AN101+AP101+AR101</f>
        <v>3202.32289105983</v>
      </c>
      <c r="AU101" s="36">
        <f t="shared" ref="AU101:AU112" si="230">AT101/SUM(AX101,AZ101,BB101,BD101,BF101,BH101,BJ101,BL101,BN101,BP101,BR101,BT101)-1</f>
        <v>0.220627618536084</v>
      </c>
      <c r="AV101" s="36"/>
      <c r="AW101" s="35">
        <f t="shared" ref="AW101:AW112" si="231">AX101+AZ101+BB101+BD101+BF101+BH101+BJ101+BL101+BN101+BP101+BR101</f>
        <v>2376.63615159443</v>
      </c>
      <c r="AX101" s="35">
        <v>242.971164372332</v>
      </c>
      <c r="AY101" s="36">
        <f t="shared" ref="AY101:AY112" si="232">AX101/BY101-1</f>
        <v>0.67070492398982</v>
      </c>
      <c r="AZ101" s="35">
        <v>108.00219441632</v>
      </c>
      <c r="BA101" s="36">
        <f t="shared" ref="BA101:BA112" si="233">AZ101/CA101-1</f>
        <v>-0.384226470412315</v>
      </c>
      <c r="BB101" s="35">
        <v>193.492598136368</v>
      </c>
      <c r="BC101" s="36">
        <f t="shared" ref="BC101:BC112" si="234">BB101/CC101-1</f>
        <v>-0.0651446533168261</v>
      </c>
      <c r="BD101" s="35">
        <v>219.139202174652</v>
      </c>
      <c r="BE101" s="36">
        <f t="shared" ref="BE101:BE112" si="235">BD101/CE101-1</f>
        <v>0.0378266404196443</v>
      </c>
      <c r="BF101" s="35">
        <v>237.414713764774</v>
      </c>
      <c r="BG101" s="36">
        <f t="shared" ref="BG101:BG112" si="236">BF101/CG101-1</f>
        <v>-0.0250029461350791</v>
      </c>
      <c r="BH101" s="35">
        <v>254.628325260997</v>
      </c>
      <c r="BI101" s="36">
        <f t="shared" ref="BI101:BI112" si="237">BH101/CI101-1</f>
        <v>-0.101494393757781</v>
      </c>
      <c r="BJ101" s="35">
        <v>229.550092327784</v>
      </c>
      <c r="BK101" s="36">
        <f t="shared" ref="BK101:BK112" si="238">BJ101/CK101-1</f>
        <v>-0.0357050028690432</v>
      </c>
      <c r="BL101" s="35">
        <v>217.01313124606</v>
      </c>
      <c r="BM101" s="36">
        <f t="shared" ref="BM101:BM112" si="239">BL101/CM101-1</f>
        <v>-0.0347976404336713</v>
      </c>
      <c r="BN101" s="35">
        <v>218.489972189002</v>
      </c>
      <c r="BO101" s="36">
        <f t="shared" ref="BO101:BO112" si="240">BN101/CO101-1</f>
        <v>0.0532180305109042</v>
      </c>
      <c r="BP101" s="35">
        <v>216.62343721405</v>
      </c>
      <c r="BQ101" s="36">
        <f t="shared" ref="BQ101:BQ112" si="241">BP101/CQ101-1</f>
        <v>0.0244793401173702</v>
      </c>
      <c r="BR101" s="748">
        <v>239.311320492093</v>
      </c>
      <c r="BS101" s="36">
        <f>BR108/CS101-1</f>
        <v>-0.9569863703838</v>
      </c>
      <c r="BT101" s="748">
        <v>246.86903740041</v>
      </c>
      <c r="BU101" s="36">
        <f t="shared" ref="BU101:BU112" si="242">BT101/CU101-1</f>
        <v>0.107461882513764</v>
      </c>
      <c r="BV101" s="35">
        <f t="shared" ref="BV101:BV112" si="243">AX101+AZ101+BB101+BD101+BF101+BH101+BJ101+BL101+BN101+BP101+BR101+BT101</f>
        <v>2623.50518899484</v>
      </c>
      <c r="BW101" s="36">
        <f t="shared" ref="BW101:BW112" si="244">BV101/SUM(BY101,CA101,CC101,CE101,CG101,CI101,CK101,CM101,CO101,CQ101,CS101,CU101)-1</f>
        <v>0.00515839746660385</v>
      </c>
      <c r="BX101" s="36"/>
      <c r="BY101" s="50">
        <v>145.430327572203</v>
      </c>
      <c r="BZ101" s="721">
        <f t="shared" ref="BZ101:BZ112" si="245">BY101/DM101-1</f>
        <v>-0.308138187984856</v>
      </c>
      <c r="CA101" s="50">
        <v>175.392720256483</v>
      </c>
      <c r="CB101" s="721">
        <f t="shared" ref="CB101:CB112" si="246">CA101/DN101-1</f>
        <v>0.195081092815393</v>
      </c>
      <c r="CC101" s="41">
        <v>206.975976361339</v>
      </c>
      <c r="CD101" s="721">
        <f t="shared" ref="CD101:CD112" si="247">CC101/DO101-1</f>
        <v>-0.00763130903322073</v>
      </c>
      <c r="CE101" s="41">
        <v>211.152030252416</v>
      </c>
      <c r="CF101" s="721">
        <f t="shared" ref="CF101:CF112" si="248">CE101/DP101-1</f>
        <v>0.0829089724011045</v>
      </c>
      <c r="CG101" s="41">
        <v>243.503006315408</v>
      </c>
      <c r="CH101" s="721">
        <f t="shared" ref="CH101:CH112" si="249">CG101/DQ101-1</f>
        <v>-0.00128931159570633</v>
      </c>
      <c r="CI101" s="702">
        <v>283.390914304829</v>
      </c>
      <c r="CJ101" s="721">
        <f t="shared" ref="CJ101:CJ112" si="250">CI101/DR101-1</f>
        <v>0.0227478786414468</v>
      </c>
      <c r="CK101" s="702">
        <v>238.049655977433</v>
      </c>
      <c r="CL101" s="721">
        <f t="shared" ref="CL101:CL112" si="251">CK101/DS101-1</f>
        <v>0.0142065397596172</v>
      </c>
      <c r="CM101" s="41">
        <v>224.836925744323</v>
      </c>
      <c r="CN101" s="721">
        <f t="shared" ref="CN101:CN112" si="252">CM101/DT101-1</f>
        <v>0.0499835112886142</v>
      </c>
      <c r="CO101" s="41">
        <v>207.449897228796</v>
      </c>
      <c r="CP101" s="721">
        <f t="shared" ref="CP101:CP112" si="253">CO101/DU101-1</f>
        <v>-0.036709100425291</v>
      </c>
      <c r="CQ101" s="41">
        <v>211.447345721225</v>
      </c>
      <c r="CR101" s="721">
        <f t="shared" ref="CR101:CR112" si="254">CQ101/DV101-1</f>
        <v>-0.00780056831435816</v>
      </c>
      <c r="CS101" s="41">
        <v>239.498505285874</v>
      </c>
      <c r="CT101" s="721">
        <f t="shared" ref="CT101:CT112" si="255">CS101/DX101-1</f>
        <v>-0.0133187034458541</v>
      </c>
      <c r="CU101" s="41">
        <v>222.914252217924</v>
      </c>
      <c r="CV101" s="721">
        <f t="shared" ref="CV101:CV112" si="256">CU101/DX101-1</f>
        <v>-0.0816421875525087</v>
      </c>
      <c r="CW101" s="41">
        <f t="shared" ref="CW101:CW112" si="257">BY101+CA101+CC101+CE101+CG101+CI101+CK101+CM101+CO101+CQ101+CS101+CU101</f>
        <v>2610.04155723825</v>
      </c>
      <c r="CX101" s="721">
        <f t="shared" ref="CX101:CX112" si="258">CW101/SUM(DM101:DX101)-1</f>
        <v>-0.0172293332423594</v>
      </c>
      <c r="CY101" s="721"/>
      <c r="CZ101" s="721">
        <f t="shared" ref="CZ101:CZ112" si="259">CU101/CS101-1</f>
        <v>-0.0692457476849571</v>
      </c>
      <c r="DA101" s="721">
        <f t="shared" ref="DA101:DA112" si="260">CS101/CQ101-1</f>
        <v>0.132662623259561</v>
      </c>
      <c r="DB101" s="721"/>
      <c r="DC101" s="721"/>
      <c r="DD101" s="721"/>
      <c r="DE101" s="721"/>
      <c r="DF101" s="721"/>
      <c r="DG101" s="721"/>
      <c r="DH101" s="721"/>
      <c r="DI101" s="721"/>
      <c r="DJ101" s="721"/>
      <c r="DK101" s="721"/>
      <c r="DL101" s="222"/>
      <c r="DM101" s="742">
        <v>210.201408788002</v>
      </c>
      <c r="DN101" s="742">
        <v>146.762191545755</v>
      </c>
      <c r="DO101" s="731">
        <v>208.567620326373</v>
      </c>
      <c r="DP101" s="731">
        <v>194.985945849386</v>
      </c>
      <c r="DQ101" s="731">
        <v>243.817362868589</v>
      </c>
      <c r="DR101" s="731">
        <v>277.08775566591</v>
      </c>
      <c r="DS101" s="731">
        <v>234.715165644519</v>
      </c>
      <c r="DT101" s="731">
        <v>214.133768127832</v>
      </c>
      <c r="DU101" s="731">
        <v>215.355400243462</v>
      </c>
      <c r="DV101" s="731">
        <v>213.109722671377</v>
      </c>
      <c r="DW101" s="731">
        <v>254.331492613172</v>
      </c>
      <c r="DX101" s="731">
        <v>242.731372452575</v>
      </c>
      <c r="DY101" s="732">
        <v>-0.0845600440404147</v>
      </c>
      <c r="DZ101" s="731">
        <f t="shared" ref="DZ101:DZ112" si="261">SUM(DM101:DX101)</f>
        <v>2655.79920679695</v>
      </c>
      <c r="EA101" s="733">
        <f t="shared" ref="EA101:EA112" si="262">IFERROR(DZ101/SUM(EC101:EN101)-1,"")</f>
        <v>-0.115657532217207</v>
      </c>
      <c r="EB101" s="743"/>
      <c r="EC101" s="199">
        <v>285.062899914884</v>
      </c>
      <c r="ED101" s="35">
        <v>103.765005548967</v>
      </c>
      <c r="EE101" s="35">
        <v>183.908422052935</v>
      </c>
      <c r="EF101" s="35">
        <v>228.926554005016</v>
      </c>
      <c r="EG101" s="35">
        <v>285.624519244647</v>
      </c>
      <c r="EH101" s="35">
        <v>423.801881868439</v>
      </c>
      <c r="EI101" s="35">
        <v>298.481782734989</v>
      </c>
      <c r="EJ101" s="35">
        <v>229.506027262089</v>
      </c>
      <c r="EK101" s="35">
        <v>220.947542109958</v>
      </c>
      <c r="EL101" s="35">
        <v>217.769395861625</v>
      </c>
      <c r="EM101" s="35">
        <v>260.187583292567</v>
      </c>
      <c r="EN101" s="35">
        <v>265.152696113355</v>
      </c>
      <c r="EO101" s="724">
        <f t="shared" ref="EO101:EO112" si="263">SUM(EC101:EN101)</f>
        <v>3003.13431000947</v>
      </c>
      <c r="EP101" s="36"/>
      <c r="EQ101" s="740">
        <f>SUM(EC101:EN101)</f>
        <v>3003.13431000947</v>
      </c>
    </row>
    <row r="102" s="206" customFormat="1" ht="27" customHeight="1" spans="1:147">
      <c r="A102" s="45"/>
      <c r="B102" s="707" t="s">
        <v>89</v>
      </c>
      <c r="C102" s="35">
        <v>30.908</v>
      </c>
      <c r="D102" s="36">
        <f t="shared" si="208"/>
        <v>-0.3027950906019</v>
      </c>
      <c r="E102" s="35">
        <v>16.8831</v>
      </c>
      <c r="F102" s="36">
        <f t="shared" si="209"/>
        <v>-0.583716130750283</v>
      </c>
      <c r="G102" s="35">
        <v>25.9482</v>
      </c>
      <c r="H102" s="36">
        <f t="shared" si="210"/>
        <v>-0.398192364514311</v>
      </c>
      <c r="I102" s="35">
        <v>52.2968</v>
      </c>
      <c r="J102" s="36">
        <f t="shared" si="211"/>
        <v>0.205489809184412</v>
      </c>
      <c r="K102" s="35">
        <v>61.0389</v>
      </c>
      <c r="L102" s="36">
        <f t="shared" si="212"/>
        <v>0.52627775555111</v>
      </c>
      <c r="M102" s="35">
        <v>65.3829</v>
      </c>
      <c r="N102" s="36">
        <f t="shared" si="213"/>
        <v>0.882589554366072</v>
      </c>
      <c r="O102" s="35">
        <v>46.9564</v>
      </c>
      <c r="P102" s="36">
        <f t="shared" si="214"/>
        <v>0.45045345590234</v>
      </c>
      <c r="Q102" s="127"/>
      <c r="R102" s="127"/>
      <c r="S102" s="35">
        <f t="shared" si="215"/>
        <v>299.4143</v>
      </c>
      <c r="T102" s="36">
        <f t="shared" si="216"/>
        <v>-0.0157443792615343</v>
      </c>
      <c r="U102" s="36"/>
      <c r="V102" s="35">
        <v>44.3313</v>
      </c>
      <c r="W102" s="36">
        <f t="shared" si="217"/>
        <v>-0.50452375656769</v>
      </c>
      <c r="X102" s="35">
        <v>40.5567</v>
      </c>
      <c r="Y102" s="36">
        <f t="shared" si="218"/>
        <v>0.336700625228652</v>
      </c>
      <c r="Z102" s="35">
        <v>43.1171</v>
      </c>
      <c r="AA102" s="36">
        <f t="shared" si="219"/>
        <v>0.69755703852438</v>
      </c>
      <c r="AB102" s="35">
        <v>43.3822</v>
      </c>
      <c r="AC102" s="36">
        <f t="shared" si="220"/>
        <v>0.566789220112248</v>
      </c>
      <c r="AD102" s="35">
        <v>39.992</v>
      </c>
      <c r="AE102" s="36">
        <f t="shared" si="221"/>
        <v>0.536575900901766</v>
      </c>
      <c r="AF102" s="35">
        <v>34.7303</v>
      </c>
      <c r="AG102" s="36">
        <f t="shared" si="222"/>
        <v>0.274300663379124</v>
      </c>
      <c r="AH102" s="35">
        <v>32.3736</v>
      </c>
      <c r="AI102" s="36">
        <f t="shared" si="223"/>
        <v>0.190709307243871</v>
      </c>
      <c r="AJ102" s="35">
        <v>25.7206</v>
      </c>
      <c r="AK102" s="36">
        <f t="shared" si="224"/>
        <v>-0.10886677661211</v>
      </c>
      <c r="AL102" s="35">
        <v>25.6027</v>
      </c>
      <c r="AM102" s="36">
        <f t="shared" si="225"/>
        <v>-0.0347673318278297</v>
      </c>
      <c r="AN102" s="35">
        <v>21.8153</v>
      </c>
      <c r="AO102" s="36">
        <f t="shared" si="226"/>
        <v>-0.284469780210769</v>
      </c>
      <c r="AP102" s="35">
        <v>32.7417</v>
      </c>
      <c r="AQ102" s="36">
        <f t="shared" si="227"/>
        <v>0.0234883699121295</v>
      </c>
      <c r="AR102" s="35">
        <v>32.3593</v>
      </c>
      <c r="AS102" s="36">
        <f t="shared" si="228"/>
        <v>-0.181011508100214</v>
      </c>
      <c r="AT102" s="35">
        <f t="shared" si="229"/>
        <v>416.7228</v>
      </c>
      <c r="AU102" s="36">
        <f t="shared" si="230"/>
        <v>0.0145454040832302</v>
      </c>
      <c r="AV102" s="36"/>
      <c r="AW102" s="35">
        <f t="shared" si="231"/>
        <v>371.237</v>
      </c>
      <c r="AX102" s="35">
        <v>89.4721</v>
      </c>
      <c r="AY102" s="36">
        <f t="shared" si="232"/>
        <v>2.10771683518407</v>
      </c>
      <c r="AZ102" s="35">
        <v>30.3409</v>
      </c>
      <c r="BA102" s="36">
        <f t="shared" si="233"/>
        <v>-0.436833068834628</v>
      </c>
      <c r="BB102" s="35">
        <v>25.3995</v>
      </c>
      <c r="BC102" s="36">
        <f t="shared" si="234"/>
        <v>-0.604005855839703</v>
      </c>
      <c r="BD102" s="35">
        <v>27.6886</v>
      </c>
      <c r="BE102" s="36">
        <f t="shared" si="235"/>
        <v>-0.597360388670844</v>
      </c>
      <c r="BF102" s="35">
        <v>26.0267</v>
      </c>
      <c r="BG102" s="36">
        <f t="shared" si="236"/>
        <v>-0.563779559232436</v>
      </c>
      <c r="BH102" s="35">
        <v>27.2544</v>
      </c>
      <c r="BI102" s="36">
        <f t="shared" si="237"/>
        <v>-0.414451789769492</v>
      </c>
      <c r="BJ102" s="35">
        <v>27.1885</v>
      </c>
      <c r="BK102" s="36">
        <f t="shared" si="238"/>
        <v>-0.354022081831552</v>
      </c>
      <c r="BL102" s="35">
        <v>28.8628</v>
      </c>
      <c r="BM102" s="36">
        <f t="shared" si="239"/>
        <v>-0.347683211817405</v>
      </c>
      <c r="BN102" s="35">
        <v>26.5249</v>
      </c>
      <c r="BO102" s="36">
        <f t="shared" si="240"/>
        <v>-0.364470597819186</v>
      </c>
      <c r="BP102" s="35">
        <v>30.4883</v>
      </c>
      <c r="BQ102" s="36">
        <f t="shared" si="241"/>
        <v>-0.214534877729573</v>
      </c>
      <c r="BR102" s="748">
        <v>31.9903</v>
      </c>
      <c r="BS102" s="36">
        <f>BR108/CS102-1</f>
        <v>-0.736557709913513</v>
      </c>
      <c r="BT102" s="748">
        <v>39.5113</v>
      </c>
      <c r="BU102" s="36">
        <f t="shared" si="242"/>
        <v>0.00523079349814393</v>
      </c>
      <c r="BV102" s="35">
        <f t="shared" si="243"/>
        <v>410.7483</v>
      </c>
      <c r="BW102" s="36">
        <f t="shared" si="244"/>
        <v>-0.275680303448446</v>
      </c>
      <c r="BX102" s="36"/>
      <c r="BY102" s="50">
        <v>28.7903</v>
      </c>
      <c r="BZ102" s="721">
        <f t="shared" si="245"/>
        <v>-0.613558207272386</v>
      </c>
      <c r="CA102" s="50">
        <v>53.8755</v>
      </c>
      <c r="CB102" s="721">
        <f t="shared" si="246"/>
        <v>-0.297911019599666</v>
      </c>
      <c r="CC102" s="41">
        <v>64.1411</v>
      </c>
      <c r="CD102" s="721">
        <f t="shared" si="247"/>
        <v>-0.180522213293097</v>
      </c>
      <c r="CE102" s="41">
        <v>68.7677</v>
      </c>
      <c r="CF102" s="721">
        <f t="shared" si="248"/>
        <v>-0.0450124290019303</v>
      </c>
      <c r="CG102" s="41">
        <v>59.6641</v>
      </c>
      <c r="CH102" s="721">
        <f t="shared" si="249"/>
        <v>-0.154525796102527</v>
      </c>
      <c r="CI102" s="702">
        <v>46.5451</v>
      </c>
      <c r="CJ102" s="721">
        <f t="shared" si="250"/>
        <v>-0.319994273033145</v>
      </c>
      <c r="CK102" s="702">
        <v>42.0889</v>
      </c>
      <c r="CL102" s="721">
        <f t="shared" si="251"/>
        <v>-0.355562836945022</v>
      </c>
      <c r="CM102" s="41">
        <v>44.2466</v>
      </c>
      <c r="CN102" s="721">
        <f t="shared" si="252"/>
        <v>-0.277204125072081</v>
      </c>
      <c r="CO102" s="41">
        <v>41.7367</v>
      </c>
      <c r="CP102" s="721">
        <f t="shared" si="253"/>
        <v>-0.296786596440859</v>
      </c>
      <c r="CQ102" s="41">
        <v>38.8156</v>
      </c>
      <c r="CR102" s="721">
        <f t="shared" si="254"/>
        <v>-0.281323019155783</v>
      </c>
      <c r="CS102" s="41">
        <v>39.1042</v>
      </c>
      <c r="CT102" s="721">
        <f t="shared" si="255"/>
        <v>-0.225972082564667</v>
      </c>
      <c r="CU102" s="41">
        <v>39.3057</v>
      </c>
      <c r="CV102" s="721">
        <f t="shared" si="256"/>
        <v>-0.221983594745885</v>
      </c>
      <c r="CW102" s="41">
        <f t="shared" si="257"/>
        <v>567.0815</v>
      </c>
      <c r="CX102" s="721">
        <f t="shared" si="258"/>
        <v>-0.27588366208215</v>
      </c>
      <c r="CY102" s="721"/>
      <c r="CZ102" s="721">
        <f t="shared" si="259"/>
        <v>0.00515289917707062</v>
      </c>
      <c r="DA102" s="721">
        <f t="shared" si="260"/>
        <v>0.00743515493770541</v>
      </c>
      <c r="DB102" s="721"/>
      <c r="DC102" s="721"/>
      <c r="DD102" s="721"/>
      <c r="DE102" s="721"/>
      <c r="DF102" s="721"/>
      <c r="DG102" s="721"/>
      <c r="DH102" s="721"/>
      <c r="DI102" s="721"/>
      <c r="DJ102" s="721"/>
      <c r="DK102" s="721"/>
      <c r="DL102" s="735" t="s">
        <v>111</v>
      </c>
      <c r="DM102" s="742">
        <v>74.501</v>
      </c>
      <c r="DN102" s="742">
        <v>76.736</v>
      </c>
      <c r="DO102" s="731">
        <v>78.2707</v>
      </c>
      <c r="DP102" s="731">
        <v>72.009</v>
      </c>
      <c r="DQ102" s="731">
        <v>70.5688</v>
      </c>
      <c r="DR102" s="731">
        <v>68.4481</v>
      </c>
      <c r="DS102" s="731">
        <v>65.3111</v>
      </c>
      <c r="DT102" s="731">
        <v>61.2159</v>
      </c>
      <c r="DU102" s="731">
        <v>59.3514</v>
      </c>
      <c r="DV102" s="731">
        <v>54.0098</v>
      </c>
      <c r="DW102" s="731">
        <v>52.1937</v>
      </c>
      <c r="DX102" s="731">
        <v>50.5204</v>
      </c>
      <c r="DY102" s="732" t="e">
        <v>#DIV/0!</v>
      </c>
      <c r="DZ102" s="731">
        <f t="shared" si="261"/>
        <v>783.1359</v>
      </c>
      <c r="EA102" s="733">
        <f t="shared" si="262"/>
        <v>0.0761499710795377</v>
      </c>
      <c r="EB102" s="747"/>
      <c r="EC102" s="199">
        <v>57.375</v>
      </c>
      <c r="ED102" s="35">
        <v>44.1788</v>
      </c>
      <c r="EE102" s="35">
        <v>46.38774</v>
      </c>
      <c r="EF102" s="35">
        <v>47.7793</v>
      </c>
      <c r="EG102" s="35">
        <v>54.81</v>
      </c>
      <c r="EH102" s="35">
        <v>67.92</v>
      </c>
      <c r="EI102" s="35">
        <v>62.4864</v>
      </c>
      <c r="EJ102" s="35">
        <v>64.8089</v>
      </c>
      <c r="EK102" s="35">
        <v>66.7532</v>
      </c>
      <c r="EL102" s="35">
        <v>70.0908</v>
      </c>
      <c r="EM102" s="35">
        <v>71.4926</v>
      </c>
      <c r="EN102" s="35">
        <v>73.6373</v>
      </c>
      <c r="EO102" s="744">
        <f t="shared" si="263"/>
        <v>727.72004</v>
      </c>
      <c r="EP102" s="36"/>
      <c r="EQ102" s="740">
        <f>SUM(EC102:EN102)</f>
        <v>727.72004</v>
      </c>
    </row>
    <row r="103" s="206" customFormat="1" ht="27" customHeight="1" spans="1:147">
      <c r="A103" s="45"/>
      <c r="B103" s="707" t="s">
        <v>90</v>
      </c>
      <c r="C103" s="35">
        <v>270.80992411045</v>
      </c>
      <c r="D103" s="36">
        <f t="shared" si="208"/>
        <v>0.411669907309498</v>
      </c>
      <c r="E103" s="35">
        <v>184.389296478056</v>
      </c>
      <c r="F103" s="36">
        <f t="shared" si="209"/>
        <v>-0.0118038287019174</v>
      </c>
      <c r="G103" s="35">
        <v>282.709240102915</v>
      </c>
      <c r="H103" s="36">
        <f t="shared" si="210"/>
        <v>0.0508468125067083</v>
      </c>
      <c r="I103" s="35">
        <v>241.187126940504</v>
      </c>
      <c r="J103" s="36">
        <f t="shared" si="211"/>
        <v>-0.0159359487496421</v>
      </c>
      <c r="K103" s="35">
        <v>244.594545513474</v>
      </c>
      <c r="L103" s="36">
        <f t="shared" si="212"/>
        <v>-0.0240406808114547</v>
      </c>
      <c r="M103" s="35">
        <v>260.091217174256</v>
      </c>
      <c r="N103" s="36">
        <f t="shared" si="213"/>
        <v>0.0217291902520793</v>
      </c>
      <c r="O103" s="35">
        <v>224.596743247571</v>
      </c>
      <c r="P103" s="36">
        <f t="shared" si="214"/>
        <v>-0.0432734999440801</v>
      </c>
      <c r="Q103" s="127"/>
      <c r="R103" s="127"/>
      <c r="S103" s="35">
        <f t="shared" si="215"/>
        <v>1708.37809356723</v>
      </c>
      <c r="T103" s="36">
        <f t="shared" si="216"/>
        <v>-0.0774264050769446</v>
      </c>
      <c r="U103" s="36"/>
      <c r="V103" s="35">
        <v>191.83657787718</v>
      </c>
      <c r="W103" s="36">
        <f t="shared" si="217"/>
        <v>0.249757310649499</v>
      </c>
      <c r="X103" s="35">
        <v>186.591794052232</v>
      </c>
      <c r="Y103" s="36">
        <f t="shared" si="218"/>
        <v>1.40263564307809</v>
      </c>
      <c r="Z103" s="35">
        <v>269.029925901888</v>
      </c>
      <c r="AA103" s="36">
        <f t="shared" si="219"/>
        <v>0.600481690709475</v>
      </c>
      <c r="AB103" s="35">
        <v>245.092915074024</v>
      </c>
      <c r="AC103" s="36">
        <f t="shared" si="220"/>
        <v>0.280188791730394</v>
      </c>
      <c r="AD103" s="35">
        <v>250.619611601066</v>
      </c>
      <c r="AE103" s="36">
        <f t="shared" si="221"/>
        <v>0.185590455852183</v>
      </c>
      <c r="AF103" s="35">
        <v>254.559838023309</v>
      </c>
      <c r="AG103" s="36">
        <f t="shared" si="222"/>
        <v>0.11956477740843</v>
      </c>
      <c r="AH103" s="35">
        <v>234.755432440142</v>
      </c>
      <c r="AI103" s="36">
        <f t="shared" si="223"/>
        <v>0.160078993942125</v>
      </c>
      <c r="AJ103" s="35">
        <v>219.266548904286</v>
      </c>
      <c r="AK103" s="36">
        <f t="shared" si="224"/>
        <v>0.16537955289344</v>
      </c>
      <c r="AL103" s="35">
        <v>228.790093973787</v>
      </c>
      <c r="AM103" s="36">
        <f t="shared" si="225"/>
        <v>0.191831885690791</v>
      </c>
      <c r="AN103" s="35">
        <v>208.112486919468</v>
      </c>
      <c r="AO103" s="36">
        <f t="shared" si="226"/>
        <v>0.118072009585942</v>
      </c>
      <c r="AP103" s="35">
        <v>240.938654716554</v>
      </c>
      <c r="AQ103" s="36">
        <f t="shared" si="227"/>
        <v>0.162152560047538</v>
      </c>
      <c r="AR103" s="35">
        <v>256.006211575898</v>
      </c>
      <c r="AS103" s="36">
        <f t="shared" si="228"/>
        <v>0.234611328158675</v>
      </c>
      <c r="AT103" s="35">
        <f t="shared" si="229"/>
        <v>2785.60009105983</v>
      </c>
      <c r="AU103" s="36">
        <f t="shared" si="230"/>
        <v>0.258882123433456</v>
      </c>
      <c r="AV103" s="36"/>
      <c r="AW103" s="35">
        <f t="shared" si="231"/>
        <v>2005.39915159443</v>
      </c>
      <c r="AX103" s="35">
        <v>153.499064372332</v>
      </c>
      <c r="AY103" s="36">
        <f t="shared" si="232"/>
        <v>0.316006756576874</v>
      </c>
      <c r="AZ103" s="35">
        <v>77.66129441632</v>
      </c>
      <c r="BA103" s="36">
        <f t="shared" si="233"/>
        <v>-0.360902971180525</v>
      </c>
      <c r="BB103" s="35">
        <v>168.093098136368</v>
      </c>
      <c r="BC103" s="36">
        <f t="shared" si="234"/>
        <v>0.176835114913612</v>
      </c>
      <c r="BD103" s="35">
        <v>191.450602174652</v>
      </c>
      <c r="BE103" s="36">
        <f t="shared" si="235"/>
        <v>0.344604436704884</v>
      </c>
      <c r="BF103" s="35">
        <v>211.388013764774</v>
      </c>
      <c r="BG103" s="36">
        <f t="shared" si="236"/>
        <v>0.149854609133176</v>
      </c>
      <c r="BH103" s="35">
        <v>227.373925260997</v>
      </c>
      <c r="BI103" s="36">
        <f t="shared" si="237"/>
        <v>-0.0399917941198713</v>
      </c>
      <c r="BJ103" s="35">
        <v>202.361592327784</v>
      </c>
      <c r="BK103" s="36">
        <f t="shared" si="238"/>
        <v>0.032663868428269</v>
      </c>
      <c r="BL103" s="35">
        <v>188.15033124606</v>
      </c>
      <c r="BM103" s="36">
        <f t="shared" si="239"/>
        <v>0.0418627380540879</v>
      </c>
      <c r="BN103" s="35">
        <v>191.965072189002</v>
      </c>
      <c r="BO103" s="36">
        <f t="shared" si="240"/>
        <v>0.158417527385949</v>
      </c>
      <c r="BP103" s="35">
        <v>186.13513721405</v>
      </c>
      <c r="BQ103" s="36">
        <f t="shared" si="241"/>
        <v>0.0782207897881713</v>
      </c>
      <c r="BR103" s="748">
        <v>207.321020492093</v>
      </c>
      <c r="BS103" s="36">
        <f>BR108/CS103-1</f>
        <v>-0.948592850553792</v>
      </c>
      <c r="BT103" s="748">
        <v>207.35773740041</v>
      </c>
      <c r="BU103" s="36">
        <f t="shared" si="242"/>
        <v>0.129346835403932</v>
      </c>
      <c r="BV103" s="35">
        <f t="shared" si="243"/>
        <v>2212.75688899484</v>
      </c>
      <c r="BW103" s="36">
        <f t="shared" si="244"/>
        <v>0.083113143184075</v>
      </c>
      <c r="BX103" s="36"/>
      <c r="BY103" s="50">
        <v>116.640027572203</v>
      </c>
      <c r="BZ103" s="721">
        <f t="shared" si="245"/>
        <v>-0.140459276328166</v>
      </c>
      <c r="CA103" s="50">
        <v>121.517220256483</v>
      </c>
      <c r="CB103" s="721">
        <f t="shared" si="246"/>
        <v>0.735310996844428</v>
      </c>
      <c r="CC103" s="41">
        <v>142.834876361339</v>
      </c>
      <c r="CD103" s="721">
        <f t="shared" si="247"/>
        <v>0.096226035147726</v>
      </c>
      <c r="CE103" s="41">
        <v>142.384330252416</v>
      </c>
      <c r="CF103" s="721">
        <f t="shared" si="248"/>
        <v>0.157813192293772</v>
      </c>
      <c r="CG103" s="41">
        <v>183.838906315408</v>
      </c>
      <c r="CH103" s="721">
        <f t="shared" si="249"/>
        <v>0.0611280305675719</v>
      </c>
      <c r="CI103" s="702">
        <v>236.845814304829</v>
      </c>
      <c r="CJ103" s="721">
        <f t="shared" si="250"/>
        <v>0.135190784076469</v>
      </c>
      <c r="CK103" s="702">
        <v>195.960755977433</v>
      </c>
      <c r="CL103" s="721">
        <f t="shared" si="251"/>
        <v>0.156765365883491</v>
      </c>
      <c r="CM103" s="41">
        <v>180.590325744323</v>
      </c>
      <c r="CN103" s="721">
        <f t="shared" si="252"/>
        <v>0.180962878669994</v>
      </c>
      <c r="CO103" s="41">
        <v>165.713197228796</v>
      </c>
      <c r="CP103" s="721">
        <f t="shared" si="253"/>
        <v>0.0622368462999774</v>
      </c>
      <c r="CQ103" s="41">
        <v>172.631745721225</v>
      </c>
      <c r="CR103" s="721">
        <f t="shared" si="254"/>
        <v>0.0850523546626618</v>
      </c>
      <c r="CS103" s="41">
        <v>200.394305285874</v>
      </c>
      <c r="CT103" s="721">
        <f t="shared" si="255"/>
        <v>0.0425747434128305</v>
      </c>
      <c r="CU103" s="41">
        <v>183.608552217924</v>
      </c>
      <c r="CV103" s="721">
        <f t="shared" si="256"/>
        <v>-0.0447550944927116</v>
      </c>
      <c r="CW103" s="41">
        <f t="shared" si="257"/>
        <v>2042.96005723825</v>
      </c>
      <c r="CX103" s="721">
        <f t="shared" si="258"/>
        <v>0.0909382641413425</v>
      </c>
      <c r="CY103" s="721"/>
      <c r="CZ103" s="721">
        <f t="shared" si="259"/>
        <v>-0.083763623142904</v>
      </c>
      <c r="DA103" s="721">
        <f t="shared" si="260"/>
        <v>0.160819549432591</v>
      </c>
      <c r="DB103" s="721"/>
      <c r="DC103" s="721"/>
      <c r="DD103" s="721"/>
      <c r="DE103" s="721"/>
      <c r="DF103" s="721"/>
      <c r="DG103" s="721"/>
      <c r="DH103" s="721"/>
      <c r="DI103" s="721"/>
      <c r="DJ103" s="721"/>
      <c r="DK103" s="721"/>
      <c r="DL103" s="206"/>
      <c r="DM103" s="742">
        <v>135.700408788002</v>
      </c>
      <c r="DN103" s="742">
        <v>70.026191545755</v>
      </c>
      <c r="DO103" s="731">
        <v>130.296920326373</v>
      </c>
      <c r="DP103" s="731">
        <v>122.976945849386</v>
      </c>
      <c r="DQ103" s="731">
        <v>173.248562868589</v>
      </c>
      <c r="DR103" s="731">
        <v>208.63965566591</v>
      </c>
      <c r="DS103" s="731">
        <v>169.404065644519</v>
      </c>
      <c r="DT103" s="731">
        <v>152.917868127832</v>
      </c>
      <c r="DU103" s="731">
        <v>156.004000243462</v>
      </c>
      <c r="DV103" s="731">
        <v>159.099922671377</v>
      </c>
      <c r="DW103" s="731">
        <v>202.137792613172</v>
      </c>
      <c r="DX103" s="731">
        <v>192.210972452575</v>
      </c>
      <c r="DY103" s="732">
        <v>0.00363196042373692</v>
      </c>
      <c r="DZ103" s="731">
        <f t="shared" si="261"/>
        <v>1872.66330679695</v>
      </c>
      <c r="EA103" s="733">
        <f t="shared" si="262"/>
        <v>-0.177001159094798</v>
      </c>
      <c r="EB103" s="733"/>
      <c r="EC103" s="199">
        <v>227.687899914884</v>
      </c>
      <c r="ED103" s="35">
        <v>59.586205548967</v>
      </c>
      <c r="EE103" s="35">
        <v>137.520682052935</v>
      </c>
      <c r="EF103" s="35">
        <v>181.147254005016</v>
      </c>
      <c r="EG103" s="35">
        <v>230.814519244647</v>
      </c>
      <c r="EH103" s="35">
        <v>355.881881868439</v>
      </c>
      <c r="EI103" s="35">
        <v>235.995382734989</v>
      </c>
      <c r="EJ103" s="35">
        <v>164.697127262089</v>
      </c>
      <c r="EK103" s="35">
        <v>154.194342109958</v>
      </c>
      <c r="EL103" s="35">
        <v>147.678595861625</v>
      </c>
      <c r="EM103" s="35">
        <v>188.694983292567</v>
      </c>
      <c r="EN103" s="35">
        <v>191.515396113355</v>
      </c>
      <c r="EO103" s="724">
        <f t="shared" si="263"/>
        <v>2275.41427000947</v>
      </c>
      <c r="EP103" s="36"/>
      <c r="EQ103" s="740">
        <f>SUM(EC103:EN103)</f>
        <v>2275.41427000947</v>
      </c>
    </row>
    <row r="104" s="206" customFormat="1" ht="27" customHeight="1" spans="1:147">
      <c r="A104" s="45"/>
      <c r="B104" s="707" t="s">
        <v>91</v>
      </c>
      <c r="C104" s="35">
        <f>C105+C106</f>
        <v>30768.068240747</v>
      </c>
      <c r="D104" s="36">
        <f t="shared" si="208"/>
        <v>0.154835019657543</v>
      </c>
      <c r="E104" s="35">
        <f>E105+E106</f>
        <v>26008.3300826015</v>
      </c>
      <c r="F104" s="36">
        <f t="shared" si="209"/>
        <v>-0.140258169132753</v>
      </c>
      <c r="G104" s="35">
        <f>G105+G106</f>
        <v>37472.1915776028</v>
      </c>
      <c r="H104" s="36">
        <f t="shared" si="210"/>
        <v>-0.0368369944547692</v>
      </c>
      <c r="I104" s="35">
        <f>I105+I106</f>
        <v>35729.1095941555</v>
      </c>
      <c r="J104" s="36">
        <f t="shared" si="211"/>
        <v>-0.0201602700291125</v>
      </c>
      <c r="K104" s="35">
        <f>K105+K106</f>
        <v>35296.5296726409</v>
      </c>
      <c r="L104" s="36">
        <f t="shared" si="212"/>
        <v>-0.00430665204040503</v>
      </c>
      <c r="M104" s="35">
        <f>M105+M106</f>
        <v>31582.7828226491</v>
      </c>
      <c r="N104" s="36">
        <f t="shared" si="213"/>
        <v>0.0381790094132384</v>
      </c>
      <c r="O104" s="35">
        <f>O105+O106</f>
        <v>27736.3147958672</v>
      </c>
      <c r="P104" s="36">
        <f t="shared" si="214"/>
        <v>-0.0172626960270509</v>
      </c>
      <c r="Q104" s="127"/>
      <c r="R104" s="127"/>
      <c r="S104" s="35">
        <f t="shared" si="215"/>
        <v>224593.326786264</v>
      </c>
      <c r="T104" s="36">
        <f t="shared" si="216"/>
        <v>-0.113086881818413</v>
      </c>
      <c r="U104" s="36"/>
      <c r="V104" s="35">
        <f>V105+V106</f>
        <v>26642.8257863803</v>
      </c>
      <c r="W104" s="36">
        <f t="shared" si="217"/>
        <v>-0.0634271865837366</v>
      </c>
      <c r="X104" s="35">
        <f>X105+X106</f>
        <v>30251.3256291905</v>
      </c>
      <c r="Y104" s="36">
        <f t="shared" si="218"/>
        <v>0.988215396175008</v>
      </c>
      <c r="Z104" s="35">
        <f>Z105+Z106</f>
        <v>38905.3476533709</v>
      </c>
      <c r="AA104" s="36">
        <f t="shared" si="219"/>
        <v>0.465410278861968</v>
      </c>
      <c r="AB104" s="35">
        <f>AB105+AB106</f>
        <v>36464.2384884894</v>
      </c>
      <c r="AC104" s="36">
        <f t="shared" si="220"/>
        <v>0.328876390211316</v>
      </c>
      <c r="AD104" s="35">
        <f>AD105+AD106</f>
        <v>35449.1970293581</v>
      </c>
      <c r="AE104" s="36">
        <f t="shared" si="221"/>
        <v>0.220627217023472</v>
      </c>
      <c r="AF104" s="35">
        <f>AF105+AF106</f>
        <v>30421.3267040519</v>
      </c>
      <c r="AG104" s="36">
        <f t="shared" si="222"/>
        <v>0.191118616961228</v>
      </c>
      <c r="AH104" s="35">
        <f>AH105+AH106</f>
        <v>28223.5289977663</v>
      </c>
      <c r="AI104" s="36">
        <f t="shared" si="223"/>
        <v>0.182839431484525</v>
      </c>
      <c r="AJ104" s="35">
        <f>AJ105+AJ106</f>
        <v>26872.5681108054</v>
      </c>
      <c r="AK104" s="36">
        <f t="shared" si="224"/>
        <v>0.111184865383443</v>
      </c>
      <c r="AL104" s="35">
        <f>AL105+AL106</f>
        <v>28028.6312930781</v>
      </c>
      <c r="AM104" s="36">
        <f t="shared" si="225"/>
        <v>0.119373304215171</v>
      </c>
      <c r="AN104" s="35">
        <f>AN105+AN106</f>
        <v>25787.1067595461</v>
      </c>
      <c r="AO104" s="36">
        <f t="shared" si="226"/>
        <v>0.0279459321400839</v>
      </c>
      <c r="AP104" s="35">
        <f>AP105+AP106</f>
        <v>29207.7857546526</v>
      </c>
      <c r="AQ104" s="36">
        <f t="shared" si="227"/>
        <v>0.0516683114802718</v>
      </c>
      <c r="AR104" s="35">
        <f>AR105+AR106</f>
        <v>31967.1560063029</v>
      </c>
      <c r="AS104" s="36">
        <f t="shared" si="228"/>
        <v>0.0728739409901384</v>
      </c>
      <c r="AT104" s="35">
        <f t="shared" si="229"/>
        <v>368221.038212992</v>
      </c>
      <c r="AU104" s="36">
        <f t="shared" si="230"/>
        <v>0.19563078895387</v>
      </c>
      <c r="AV104" s="36"/>
      <c r="AW104" s="35">
        <f t="shared" si="231"/>
        <v>278176.377404021</v>
      </c>
      <c r="AX104" s="35">
        <f>AX105+AX106</f>
        <v>28447.1483740782</v>
      </c>
      <c r="AY104" s="36">
        <f t="shared" si="232"/>
        <v>0.355025203657028</v>
      </c>
      <c r="AZ104" s="35">
        <f>AZ105+AZ106</f>
        <v>15215.3160504586</v>
      </c>
      <c r="BA104" s="36">
        <f t="shared" si="233"/>
        <v>-0.452420454837573</v>
      </c>
      <c r="BB104" s="35">
        <f>BB105+BB106</f>
        <v>26549.116117559</v>
      </c>
      <c r="BC104" s="36">
        <f t="shared" si="234"/>
        <v>-0.175902194864723</v>
      </c>
      <c r="BD104" s="35">
        <f>BD105+BD106</f>
        <v>27439.9024296691</v>
      </c>
      <c r="BE104" s="36">
        <f t="shared" si="235"/>
        <v>-0.155160432320144</v>
      </c>
      <c r="BF104" s="35">
        <f>BF105+BF106</f>
        <v>29041.7881356126</v>
      </c>
      <c r="BG104" s="36">
        <f t="shared" si="236"/>
        <v>-0.130469799933544</v>
      </c>
      <c r="BH104" s="35">
        <f>BH105+BH106</f>
        <v>25540.1319993323</v>
      </c>
      <c r="BI104" s="36">
        <f t="shared" si="237"/>
        <v>-0.183595144766534</v>
      </c>
      <c r="BJ104" s="35">
        <f>BJ105+BJ106</f>
        <v>23860.8286522409</v>
      </c>
      <c r="BK104" s="36">
        <f t="shared" si="238"/>
        <v>-0.177685315150875</v>
      </c>
      <c r="BL104" s="35">
        <f>BL105+BL106</f>
        <v>24183.7060132495</v>
      </c>
      <c r="BM104" s="36">
        <f t="shared" si="239"/>
        <v>-0.184623436618276</v>
      </c>
      <c r="BN104" s="35">
        <f>BN105+BN106</f>
        <v>25039.5745436594</v>
      </c>
      <c r="BO104" s="36">
        <f t="shared" si="240"/>
        <v>-0.129825203640784</v>
      </c>
      <c r="BP104" s="35">
        <f>BP105+BP106</f>
        <v>25086.0536077611</v>
      </c>
      <c r="BQ104" s="36">
        <f t="shared" si="241"/>
        <v>-0.126216704220807</v>
      </c>
      <c r="BR104" s="35">
        <f>BR105+BR106</f>
        <v>27772.8114804004</v>
      </c>
      <c r="BS104" s="36">
        <f>BR104/CS104-1</f>
        <v>-0.152585619027813</v>
      </c>
      <c r="BT104" s="35">
        <f>BT105+BT106</f>
        <v>29795.8173695606</v>
      </c>
      <c r="BU104" s="36">
        <f t="shared" si="242"/>
        <v>-0.0627851812612606</v>
      </c>
      <c r="BV104" s="35">
        <f t="shared" si="243"/>
        <v>307972.194773582</v>
      </c>
      <c r="BW104" s="36">
        <f t="shared" si="244"/>
        <v>-0.141865020392081</v>
      </c>
      <c r="BX104" s="36"/>
      <c r="BY104" s="41">
        <f>BY105+BY106</f>
        <v>20993.8149469864</v>
      </c>
      <c r="BZ104" s="721">
        <f t="shared" si="245"/>
        <v>-0.114539739957625</v>
      </c>
      <c r="CA104" s="41">
        <f>CA105+CA106</f>
        <v>27786.494555682</v>
      </c>
      <c r="CB104" s="721">
        <f t="shared" si="246"/>
        <v>0.635428005362537</v>
      </c>
      <c r="CC104" s="41">
        <f>SUM(CC105:CC106)</f>
        <v>32215.9772203263</v>
      </c>
      <c r="CD104" s="721">
        <f t="shared" si="247"/>
        <v>0.31636531823317</v>
      </c>
      <c r="CE104" s="41">
        <v>32479.4238804724</v>
      </c>
      <c r="CF104" s="721">
        <f t="shared" si="248"/>
        <v>0.369886665844051</v>
      </c>
      <c r="CG104" s="41">
        <v>33399.4013472942</v>
      </c>
      <c r="CH104" s="721">
        <f t="shared" si="249"/>
        <v>0.223174043156781</v>
      </c>
      <c r="CI104" s="41">
        <f>CI105+CI106</f>
        <v>31283.6601051676</v>
      </c>
      <c r="CJ104" s="721">
        <f t="shared" si="250"/>
        <v>0.2592688568709</v>
      </c>
      <c r="CK104" s="41">
        <f>CK105+CK106</f>
        <v>29016.6636834642</v>
      </c>
      <c r="CL104" s="721">
        <f t="shared" si="251"/>
        <v>0.21786611822369</v>
      </c>
      <c r="CM104" s="41">
        <v>29659.5549827298</v>
      </c>
      <c r="CN104" s="721">
        <f t="shared" si="252"/>
        <v>0.241493317196486</v>
      </c>
      <c r="CO104" s="41">
        <f>SUM(CO105:CO106)</f>
        <v>28775.3387577119</v>
      </c>
      <c r="CP104" s="721">
        <f t="shared" si="253"/>
        <v>0.149094475071174</v>
      </c>
      <c r="CQ104" s="41">
        <f>SUM(CQ105:CQ106)</f>
        <v>28709.6969339414</v>
      </c>
      <c r="CR104" s="721">
        <f t="shared" si="254"/>
        <v>0.106020508591006</v>
      </c>
      <c r="CS104" s="41">
        <f>CS105+CS106</f>
        <v>32773.5899980106</v>
      </c>
      <c r="CT104" s="721">
        <f t="shared" si="255"/>
        <v>0.107136323430579</v>
      </c>
      <c r="CU104" s="41">
        <f>CU105+CU106</f>
        <v>31791.8760713349</v>
      </c>
      <c r="CV104" s="721">
        <f t="shared" si="256"/>
        <v>0.0739726954146578</v>
      </c>
      <c r="CW104" s="41">
        <f t="shared" si="257"/>
        <v>358885.492483122</v>
      </c>
      <c r="CX104" s="721">
        <f t="shared" si="258"/>
        <v>0.195662275135707</v>
      </c>
      <c r="CY104" s="721"/>
      <c r="CZ104" s="721">
        <f t="shared" si="259"/>
        <v>-0.0299544214330895</v>
      </c>
      <c r="DA104" s="721">
        <f t="shared" si="260"/>
        <v>0.141551235229681</v>
      </c>
      <c r="DB104" s="721"/>
      <c r="DC104" s="721"/>
      <c r="DD104" s="721"/>
      <c r="DE104" s="721"/>
      <c r="DF104" s="721"/>
      <c r="DG104" s="721"/>
      <c r="DH104" s="721"/>
      <c r="DI104" s="721"/>
      <c r="DJ104" s="721"/>
      <c r="DK104" s="721"/>
      <c r="DL104" s="206"/>
      <c r="DM104" s="41">
        <v>23709.4942532844</v>
      </c>
      <c r="DN104" s="41">
        <v>16990.3502108137</v>
      </c>
      <c r="DO104" s="41">
        <v>24473.4320891762</v>
      </c>
      <c r="DP104" s="41">
        <v>23709.5700617396</v>
      </c>
      <c r="DQ104" s="41">
        <v>27305.5184044755</v>
      </c>
      <c r="DR104" s="41">
        <v>24842.717212036</v>
      </c>
      <c r="DS104" s="41">
        <v>23825.8239138685</v>
      </c>
      <c r="DT104" s="41">
        <v>23890.225240766</v>
      </c>
      <c r="DU104" s="41">
        <v>25041.7519028882</v>
      </c>
      <c r="DV104" s="41">
        <v>25957.6533264429</v>
      </c>
      <c r="DW104" s="41">
        <v>30807.5761565134</v>
      </c>
      <c r="DX104" s="41">
        <v>29602.1269507789</v>
      </c>
      <c r="DY104" s="721" t="e">
        <v>#DIV/0!</v>
      </c>
      <c r="DZ104" s="41">
        <f t="shared" si="261"/>
        <v>300156.239722783</v>
      </c>
      <c r="EA104" s="36">
        <f t="shared" si="262"/>
        <v>-0.0423281724082275</v>
      </c>
      <c r="EB104" s="36"/>
      <c r="EC104" s="737">
        <f t="shared" ref="EC104:EN104" si="264">EC105+EC106</f>
        <v>29228.7220029014</v>
      </c>
      <c r="ED104" s="737">
        <f t="shared" si="264"/>
        <v>13826.8246277187</v>
      </c>
      <c r="EE104" s="737">
        <f t="shared" si="264"/>
        <v>22758.4477715238</v>
      </c>
      <c r="EF104" s="737">
        <f t="shared" si="264"/>
        <v>25923.2310380651</v>
      </c>
      <c r="EG104" s="737">
        <f t="shared" si="264"/>
        <v>29032.4732655882</v>
      </c>
      <c r="EH104" s="737">
        <f t="shared" si="264"/>
        <v>32208.0908717777</v>
      </c>
      <c r="EI104" s="737">
        <f t="shared" si="264"/>
        <v>25648.9100145494</v>
      </c>
      <c r="EJ104" s="737">
        <f t="shared" si="264"/>
        <v>25600.8992109047</v>
      </c>
      <c r="EK104" s="737">
        <f t="shared" si="264"/>
        <v>25309.0048601786</v>
      </c>
      <c r="EL104" s="737">
        <f t="shared" si="264"/>
        <v>24146.2726390846</v>
      </c>
      <c r="EM104" s="50">
        <f t="shared" si="264"/>
        <v>29680.7550029229</v>
      </c>
      <c r="EN104" s="50">
        <f t="shared" si="264"/>
        <v>30059.2251210586</v>
      </c>
      <c r="EO104" s="724">
        <f t="shared" si="263"/>
        <v>313422.856426274</v>
      </c>
      <c r="EP104" s="36"/>
      <c r="EQ104" s="738"/>
    </row>
    <row r="105" s="206" customFormat="1" ht="27" customHeight="1" spans="1:147">
      <c r="A105" s="45"/>
      <c r="B105" s="707" t="s">
        <v>92</v>
      </c>
      <c r="C105" s="35">
        <v>1525.4429</v>
      </c>
      <c r="D105" s="36">
        <f t="shared" si="208"/>
        <v>-0.760970819782943</v>
      </c>
      <c r="E105" s="35">
        <v>1342.1879</v>
      </c>
      <c r="F105" s="36">
        <f t="shared" si="209"/>
        <v>-0.748874490297809</v>
      </c>
      <c r="G105" s="35">
        <v>1702.7127</v>
      </c>
      <c r="H105" s="36">
        <f t="shared" si="210"/>
        <v>-0.696104275773987</v>
      </c>
      <c r="I105" s="35">
        <v>2608.3449</v>
      </c>
      <c r="J105" s="36">
        <f t="shared" si="211"/>
        <v>-0.591058058189008</v>
      </c>
      <c r="K105" s="35">
        <v>4549.503</v>
      </c>
      <c r="L105" s="36">
        <f t="shared" si="212"/>
        <v>-0.182413133137451</v>
      </c>
      <c r="M105" s="35">
        <v>5370.5817</v>
      </c>
      <c r="N105" s="36">
        <f t="shared" si="213"/>
        <v>0.091896298896865</v>
      </c>
      <c r="O105" s="35">
        <v>2005.753</v>
      </c>
      <c r="P105" s="36">
        <f t="shared" si="214"/>
        <v>-0.564160782329954</v>
      </c>
      <c r="Q105" s="127"/>
      <c r="R105" s="127"/>
      <c r="S105" s="35">
        <f t="shared" si="215"/>
        <v>19104.5261</v>
      </c>
      <c r="T105" s="36">
        <f t="shared" si="216"/>
        <v>-0.532491893794431</v>
      </c>
      <c r="U105" s="36"/>
      <c r="V105" s="35">
        <v>6381.8271</v>
      </c>
      <c r="W105" s="36">
        <f t="shared" si="217"/>
        <v>-0.496807693692379</v>
      </c>
      <c r="X105" s="35">
        <v>5344.6896</v>
      </c>
      <c r="Y105" s="36">
        <f t="shared" si="218"/>
        <v>1.14012768234737</v>
      </c>
      <c r="Z105" s="35">
        <v>5602.9505</v>
      </c>
      <c r="AA105" s="36">
        <f t="shared" si="219"/>
        <v>1.82444191700393</v>
      </c>
      <c r="AB105" s="35">
        <v>6378.2768</v>
      </c>
      <c r="AC105" s="36">
        <f t="shared" si="220"/>
        <v>1.93941103542873</v>
      </c>
      <c r="AD105" s="35">
        <v>5564.55</v>
      </c>
      <c r="AE105" s="36">
        <f t="shared" si="221"/>
        <v>1.60332138624858</v>
      </c>
      <c r="AF105" s="35">
        <v>4918.5822</v>
      </c>
      <c r="AG105" s="36">
        <f t="shared" si="222"/>
        <v>1.36245467354506</v>
      </c>
      <c r="AH105" s="35">
        <v>4602.048</v>
      </c>
      <c r="AI105" s="36">
        <f t="shared" si="223"/>
        <v>1.19020353403406</v>
      </c>
      <c r="AJ105" s="35">
        <v>2071.6637</v>
      </c>
      <c r="AK105" s="36">
        <f t="shared" si="224"/>
        <v>-0.0246569737989375</v>
      </c>
      <c r="AL105" s="35">
        <v>2060.169</v>
      </c>
      <c r="AM105" s="36">
        <f t="shared" si="225"/>
        <v>0.0467712373096385</v>
      </c>
      <c r="AN105" s="35">
        <v>1954.3453</v>
      </c>
      <c r="AO105" s="36">
        <f t="shared" si="226"/>
        <v>-0.182281788042963</v>
      </c>
      <c r="AP105" s="35">
        <v>2110.7444</v>
      </c>
      <c r="AQ105" s="36">
        <f t="shared" si="227"/>
        <v>-0.146344088287203</v>
      </c>
      <c r="AR105" s="35">
        <v>1984.6451</v>
      </c>
      <c r="AS105" s="36">
        <f t="shared" si="228"/>
        <v>-0.371852159399828</v>
      </c>
      <c r="AT105" s="35">
        <f t="shared" si="229"/>
        <v>48974.4917</v>
      </c>
      <c r="AU105" s="36">
        <f t="shared" si="230"/>
        <v>0.296697742962885</v>
      </c>
      <c r="AV105" s="36"/>
      <c r="AW105" s="35">
        <f t="shared" si="231"/>
        <v>34609.1066</v>
      </c>
      <c r="AX105" s="35">
        <v>12682.6802</v>
      </c>
      <c r="AY105" s="36">
        <f t="shared" si="232"/>
        <v>0.204220504781364</v>
      </c>
      <c r="AZ105" s="35">
        <v>2497.3695</v>
      </c>
      <c r="BA105" s="36">
        <f t="shared" si="233"/>
        <v>-0.871551074131386</v>
      </c>
      <c r="BB105" s="35">
        <v>1983.7372</v>
      </c>
      <c r="BC105" s="36">
        <f t="shared" si="234"/>
        <v>-0.906798608833819</v>
      </c>
      <c r="BD105" s="35">
        <v>2169.9166</v>
      </c>
      <c r="BE105" s="36">
        <f t="shared" si="235"/>
        <v>-0.902979596790778</v>
      </c>
      <c r="BF105" s="35">
        <v>2137.481</v>
      </c>
      <c r="BG105" s="36">
        <f t="shared" si="236"/>
        <v>-0.883859216863155</v>
      </c>
      <c r="BH105" s="35">
        <v>2081.9795</v>
      </c>
      <c r="BI105" s="36">
        <f t="shared" si="237"/>
        <v>-0.858397533034933</v>
      </c>
      <c r="BJ105" s="35">
        <v>2101.1965</v>
      </c>
      <c r="BK105" s="36">
        <f t="shared" si="238"/>
        <v>-0.834510374870776</v>
      </c>
      <c r="BL105" s="35">
        <v>2124.036</v>
      </c>
      <c r="BM105" s="36">
        <f t="shared" si="239"/>
        <v>-0.823416598949105</v>
      </c>
      <c r="BN105" s="35">
        <v>1968.1177</v>
      </c>
      <c r="BO105" s="36">
        <f t="shared" si="240"/>
        <v>-0.829851856340963</v>
      </c>
      <c r="BP105" s="35">
        <v>2389.9985</v>
      </c>
      <c r="BQ105" s="36">
        <f t="shared" si="241"/>
        <v>-0.760981599781959</v>
      </c>
      <c r="BR105" s="35">
        <v>2472.5939</v>
      </c>
      <c r="BS105" s="36">
        <f>BR105/CS105-1</f>
        <v>-0.726321702250006</v>
      </c>
      <c r="BT105" s="35">
        <v>3159.5191</v>
      </c>
      <c r="BU105" s="36">
        <f t="shared" si="242"/>
        <v>-0.628650480634677</v>
      </c>
      <c r="BV105" s="35">
        <f t="shared" si="243"/>
        <v>37768.6257</v>
      </c>
      <c r="BW105" s="36">
        <f t="shared" si="244"/>
        <v>-0.778569001548622</v>
      </c>
      <c r="BX105" s="36"/>
      <c r="BY105" s="50">
        <v>10531.8587</v>
      </c>
      <c r="BZ105" s="721">
        <f t="shared" si="245"/>
        <v>0.766734667516608</v>
      </c>
      <c r="CA105" s="50">
        <v>19442.5098</v>
      </c>
      <c r="CB105" s="721">
        <f t="shared" si="246"/>
        <v>2.16651397483663</v>
      </c>
      <c r="CC105" s="41">
        <v>21284.4162</v>
      </c>
      <c r="CD105" s="721">
        <f t="shared" si="247"/>
        <v>2.39852645367554</v>
      </c>
      <c r="CE105" s="41">
        <v>22365.5698</v>
      </c>
      <c r="CF105" s="721">
        <f t="shared" si="248"/>
        <v>2.88169185802856</v>
      </c>
      <c r="CG105" s="41">
        <v>18404.2241</v>
      </c>
      <c r="CH105" s="721">
        <f t="shared" si="249"/>
        <v>2.25997800799276</v>
      </c>
      <c r="CI105" s="702">
        <v>14702.9889</v>
      </c>
      <c r="CJ105" s="721">
        <f t="shared" si="250"/>
        <v>1.73327641342407</v>
      </c>
      <c r="CK105" s="702">
        <v>12696.8473</v>
      </c>
      <c r="CL105" s="721">
        <f t="shared" si="251"/>
        <v>1.52921179135626</v>
      </c>
      <c r="CM105" s="41">
        <v>12028.5145</v>
      </c>
      <c r="CN105" s="721">
        <f t="shared" si="252"/>
        <v>1.58747893595491</v>
      </c>
      <c r="CO105" s="702">
        <v>11567.083</v>
      </c>
      <c r="CP105" s="721">
        <f t="shared" si="253"/>
        <v>1.57866602664547</v>
      </c>
      <c r="CQ105" s="702">
        <v>9999.2239</v>
      </c>
      <c r="CR105" s="721">
        <f t="shared" si="254"/>
        <v>1.47682334541613</v>
      </c>
      <c r="CS105" s="50">
        <v>9034.6729</v>
      </c>
      <c r="CT105" s="721">
        <f t="shared" si="255"/>
        <v>1.41753612815444</v>
      </c>
      <c r="CU105" s="50">
        <v>8508.2084</v>
      </c>
      <c r="CV105" s="721">
        <f t="shared" si="256"/>
        <v>1.27666252232188</v>
      </c>
      <c r="CW105" s="41">
        <f t="shared" si="257"/>
        <v>170566.1175</v>
      </c>
      <c r="CX105" s="721">
        <f t="shared" si="258"/>
        <v>1.79996443010479</v>
      </c>
      <c r="CY105" s="721"/>
      <c r="CZ105" s="721">
        <f t="shared" si="259"/>
        <v>-0.0582715617739742</v>
      </c>
      <c r="DA105" s="721">
        <f t="shared" si="260"/>
        <v>-0.0964625864613354</v>
      </c>
      <c r="DB105" s="721"/>
      <c r="DC105" s="721"/>
      <c r="DD105" s="721"/>
      <c r="DE105" s="721"/>
      <c r="DF105" s="721"/>
      <c r="DG105" s="721"/>
      <c r="DH105" s="721"/>
      <c r="DI105" s="721"/>
      <c r="DJ105" s="721"/>
      <c r="DK105" s="721"/>
      <c r="DL105" s="206"/>
      <c r="DM105" s="50">
        <v>5961.2</v>
      </c>
      <c r="DN105" s="50">
        <v>6140.036</v>
      </c>
      <c r="DO105" s="41">
        <v>6262.8367</v>
      </c>
      <c r="DP105" s="41">
        <v>5761.8097</v>
      </c>
      <c r="DQ105" s="41">
        <v>5645.5056</v>
      </c>
      <c r="DR105" s="41">
        <v>5379.2543</v>
      </c>
      <c r="DS105" s="41">
        <v>5020.0807</v>
      </c>
      <c r="DT105" s="41">
        <v>4648.7391</v>
      </c>
      <c r="DU105" s="41">
        <v>4485.6848</v>
      </c>
      <c r="DV105" s="41">
        <v>4037.1163</v>
      </c>
      <c r="DW105" s="41">
        <v>3837.8404</v>
      </c>
      <c r="DX105" s="41">
        <v>3737.1408</v>
      </c>
      <c r="DY105" s="721">
        <v>-0.365618809255519</v>
      </c>
      <c r="DZ105" s="41">
        <f t="shared" si="261"/>
        <v>60917.2444</v>
      </c>
      <c r="EA105" s="36">
        <f t="shared" si="262"/>
        <v>0.046370759549675</v>
      </c>
      <c r="EB105" s="723"/>
      <c r="EC105" s="199">
        <v>4590</v>
      </c>
      <c r="ED105" s="35">
        <v>3534.3</v>
      </c>
      <c r="EE105" s="35">
        <v>3711.015</v>
      </c>
      <c r="EF105" s="35">
        <v>3822.34545</v>
      </c>
      <c r="EG105" s="35">
        <v>4384.8</v>
      </c>
      <c r="EH105" s="35">
        <v>5433.6</v>
      </c>
      <c r="EI105" s="35">
        <v>4998.912</v>
      </c>
      <c r="EJ105" s="35">
        <v>5184.7193</v>
      </c>
      <c r="EK105" s="35">
        <v>5340.2609</v>
      </c>
      <c r="EL105" s="35">
        <v>5607.2739</v>
      </c>
      <c r="EM105" s="35">
        <v>5719.4194</v>
      </c>
      <c r="EN105" s="35">
        <v>5891.0019</v>
      </c>
      <c r="EO105" s="744">
        <f t="shared" si="263"/>
        <v>58217.64785</v>
      </c>
      <c r="EP105" s="36"/>
      <c r="EQ105" s="740">
        <f>SUM(EC105:EN105)</f>
        <v>58217.64785</v>
      </c>
    </row>
    <row r="106" s="206" customFormat="1" ht="27" customHeight="1" spans="1:147">
      <c r="A106" s="29"/>
      <c r="B106" s="707" t="s">
        <v>93</v>
      </c>
      <c r="C106" s="35">
        <v>29242.625340747</v>
      </c>
      <c r="D106" s="36">
        <f t="shared" si="208"/>
        <v>0.443296344538251</v>
      </c>
      <c r="E106" s="35">
        <v>24666.1421826015</v>
      </c>
      <c r="F106" s="36">
        <f t="shared" si="209"/>
        <v>-0.00965581406927629</v>
      </c>
      <c r="G106" s="35">
        <v>35769.4788776028</v>
      </c>
      <c r="H106" s="36">
        <f t="shared" si="210"/>
        <v>0.074081205412031</v>
      </c>
      <c r="I106" s="35">
        <v>33120.7646941555</v>
      </c>
      <c r="J106" s="36">
        <f t="shared" si="211"/>
        <v>0.100871065285814</v>
      </c>
      <c r="K106" s="35">
        <v>30747.0266726409</v>
      </c>
      <c r="L106" s="36">
        <f t="shared" si="212"/>
        <v>0.0288569459239594</v>
      </c>
      <c r="M106" s="35">
        <v>26212.2011226491</v>
      </c>
      <c r="N106" s="36">
        <f t="shared" si="213"/>
        <v>0.027818834105658</v>
      </c>
      <c r="O106" s="35">
        <v>25730.5617958672</v>
      </c>
      <c r="P106" s="36">
        <f t="shared" si="214"/>
        <v>0.0892865607495288</v>
      </c>
      <c r="Q106" s="127"/>
      <c r="R106" s="127"/>
      <c r="S106" s="35">
        <f t="shared" si="215"/>
        <v>205488.800686264</v>
      </c>
      <c r="T106" s="36">
        <f t="shared" si="216"/>
        <v>-0.0323826659869739</v>
      </c>
      <c r="U106" s="36"/>
      <c r="V106" s="35">
        <v>20260.9986863803</v>
      </c>
      <c r="W106" s="36">
        <f t="shared" si="217"/>
        <v>0.285231982623799</v>
      </c>
      <c r="X106" s="35">
        <v>24906.6360291905</v>
      </c>
      <c r="Y106" s="36">
        <f t="shared" si="218"/>
        <v>0.95838502154205</v>
      </c>
      <c r="Z106" s="35">
        <v>33302.3971533709</v>
      </c>
      <c r="AA106" s="36">
        <f t="shared" si="219"/>
        <v>0.355663890434305</v>
      </c>
      <c r="AB106" s="35">
        <v>30085.9616884894</v>
      </c>
      <c r="AC106" s="36">
        <f t="shared" si="220"/>
        <v>0.190580868991463</v>
      </c>
      <c r="AD106" s="35">
        <v>29884.6470293581</v>
      </c>
      <c r="AE106" s="36">
        <f t="shared" si="221"/>
        <v>0.110775567596777</v>
      </c>
      <c r="AF106" s="35">
        <v>25502.7445040519</v>
      </c>
      <c r="AG106" s="36">
        <f t="shared" si="222"/>
        <v>0.0871591232420283</v>
      </c>
      <c r="AH106" s="35">
        <v>23621.4809977663</v>
      </c>
      <c r="AI106" s="36">
        <f t="shared" si="223"/>
        <v>0.0855643529494894</v>
      </c>
      <c r="AJ106" s="35">
        <v>24800.9044108054</v>
      </c>
      <c r="AK106" s="36">
        <f t="shared" si="224"/>
        <v>0.124264524170555</v>
      </c>
      <c r="AL106" s="35">
        <v>25968.4622930781</v>
      </c>
      <c r="AM106" s="36">
        <f t="shared" si="225"/>
        <v>0.125566645793106</v>
      </c>
      <c r="AN106" s="35">
        <v>23832.7614595461</v>
      </c>
      <c r="AO106" s="36">
        <f t="shared" si="226"/>
        <v>0.0500838734479583</v>
      </c>
      <c r="AP106" s="35">
        <v>27097.0413546526</v>
      </c>
      <c r="AQ106" s="36">
        <f t="shared" si="227"/>
        <v>0.0710200917656996</v>
      </c>
      <c r="AR106" s="35">
        <v>29982.5109063029</v>
      </c>
      <c r="AS106" s="36">
        <f t="shared" si="228"/>
        <v>0.125626038681444</v>
      </c>
      <c r="AT106" s="35">
        <f t="shared" si="229"/>
        <v>319246.546512993</v>
      </c>
      <c r="AU106" s="36">
        <f t="shared" si="230"/>
        <v>0.181503810654905</v>
      </c>
      <c r="AV106" s="36"/>
      <c r="AW106" s="35">
        <f t="shared" si="231"/>
        <v>243567.270804021</v>
      </c>
      <c r="AX106" s="35">
        <v>15764.4681740782</v>
      </c>
      <c r="AY106" s="36">
        <f t="shared" si="232"/>
        <v>0.50683751699107</v>
      </c>
      <c r="AZ106" s="35">
        <v>12717.9465504586</v>
      </c>
      <c r="BA106" s="36">
        <f t="shared" si="233"/>
        <v>0.524205391410628</v>
      </c>
      <c r="BB106" s="35">
        <v>24565.378917559</v>
      </c>
      <c r="BC106" s="36">
        <f t="shared" si="234"/>
        <v>1.24719771237445</v>
      </c>
      <c r="BD106" s="35">
        <v>25269.9858296691</v>
      </c>
      <c r="BE106" s="36">
        <f t="shared" si="235"/>
        <v>1.49855155399758</v>
      </c>
      <c r="BF106" s="35">
        <v>26904.3071356126</v>
      </c>
      <c r="BG106" s="36">
        <f t="shared" si="236"/>
        <v>0.794197340379377</v>
      </c>
      <c r="BH106" s="35">
        <v>23458.1524993323</v>
      </c>
      <c r="BI106" s="36">
        <f t="shared" si="237"/>
        <v>0.414789076332521</v>
      </c>
      <c r="BJ106" s="35">
        <v>21759.6321522409</v>
      </c>
      <c r="BK106" s="36">
        <f t="shared" si="238"/>
        <v>0.333325794908361</v>
      </c>
      <c r="BL106" s="35">
        <v>22059.6700132495</v>
      </c>
      <c r="BM106" s="36">
        <f t="shared" si="239"/>
        <v>0.251183674319033</v>
      </c>
      <c r="BN106" s="35">
        <v>23071.4568436594</v>
      </c>
      <c r="BO106" s="36">
        <f t="shared" si="240"/>
        <v>0.340720243149565</v>
      </c>
      <c r="BP106" s="35">
        <v>22696.0551077611</v>
      </c>
      <c r="BQ106" s="36">
        <f t="shared" si="241"/>
        <v>0.213013431920707</v>
      </c>
      <c r="BR106" s="35">
        <v>25300.2175804004</v>
      </c>
      <c r="BS106" s="36">
        <f>BR106/CS106-1</f>
        <v>0.0657696589926018</v>
      </c>
      <c r="BT106" s="35">
        <v>26636.2982695606</v>
      </c>
      <c r="BU106" s="36">
        <f t="shared" si="242"/>
        <v>0.14399065669337</v>
      </c>
      <c r="BV106" s="35">
        <f t="shared" si="243"/>
        <v>270203.569073582</v>
      </c>
      <c r="BW106" s="36">
        <f t="shared" si="244"/>
        <v>0.434815557867049</v>
      </c>
      <c r="BX106" s="36"/>
      <c r="BY106" s="50">
        <v>10461.9562469864</v>
      </c>
      <c r="BZ106" s="721">
        <f t="shared" si="245"/>
        <v>-0.410537367834637</v>
      </c>
      <c r="CA106" s="50">
        <v>8343.984755682</v>
      </c>
      <c r="CB106" s="721">
        <f t="shared" si="246"/>
        <v>-0.230991417062727</v>
      </c>
      <c r="CC106" s="41">
        <v>10931.5610203263</v>
      </c>
      <c r="CD106" s="721">
        <f t="shared" si="247"/>
        <v>-0.399714244004143</v>
      </c>
      <c r="CE106" s="41">
        <v>10113.8540804724</v>
      </c>
      <c r="CF106" s="721">
        <f t="shared" si="248"/>
        <v>-0.436483779779412</v>
      </c>
      <c r="CG106" s="41">
        <v>14995.1772472942</v>
      </c>
      <c r="CH106" s="721">
        <f t="shared" si="249"/>
        <v>-0.307702290730141</v>
      </c>
      <c r="CI106" s="50">
        <v>16580.6712051676</v>
      </c>
      <c r="CJ106" s="721">
        <f t="shared" si="250"/>
        <v>-0.148112990987109</v>
      </c>
      <c r="CK106" s="702">
        <v>16319.8163834642</v>
      </c>
      <c r="CL106" s="721">
        <f t="shared" si="251"/>
        <v>-0.13218976788809</v>
      </c>
      <c r="CM106" s="41">
        <v>17631.0404827298</v>
      </c>
      <c r="CN106" s="721">
        <f t="shared" si="252"/>
        <v>-0.0836965318715287</v>
      </c>
      <c r="CO106" s="41">
        <v>17208.2557577119</v>
      </c>
      <c r="CP106" s="721">
        <f t="shared" si="253"/>
        <v>-0.162862444864559</v>
      </c>
      <c r="CQ106" s="41">
        <v>18710.4730339414</v>
      </c>
      <c r="CR106" s="721">
        <f t="shared" si="254"/>
        <v>-0.146440937492963</v>
      </c>
      <c r="CS106" s="41">
        <v>23738.9170980106</v>
      </c>
      <c r="CT106" s="721">
        <f t="shared" si="255"/>
        <v>-0.082198731535152</v>
      </c>
      <c r="CU106" s="41">
        <v>23283.6676713349</v>
      </c>
      <c r="CV106" s="721">
        <f t="shared" si="256"/>
        <v>-0.099799724012853</v>
      </c>
      <c r="CW106" s="41">
        <f t="shared" si="257"/>
        <v>188319.374983122</v>
      </c>
      <c r="CX106" s="721">
        <f t="shared" si="258"/>
        <v>-0.21283996896476</v>
      </c>
      <c r="CY106" s="721"/>
      <c r="CZ106" s="721">
        <f t="shared" si="259"/>
        <v>-0.0191773459924948</v>
      </c>
      <c r="DA106" s="721">
        <f t="shared" si="260"/>
        <v>0.268750237097023</v>
      </c>
      <c r="DB106" s="721"/>
      <c r="DC106" s="721"/>
      <c r="DD106" s="721"/>
      <c r="DE106" s="721"/>
      <c r="DF106" s="721"/>
      <c r="DG106" s="721"/>
      <c r="DH106" s="721"/>
      <c r="DI106" s="721"/>
      <c r="DJ106" s="721"/>
      <c r="DK106" s="721"/>
      <c r="DL106" s="21"/>
      <c r="DM106" s="745">
        <v>17748.2942532844</v>
      </c>
      <c r="DN106" s="745">
        <v>10850.3142108137</v>
      </c>
      <c r="DO106" s="727">
        <v>18210.5953891762</v>
      </c>
      <c r="DP106" s="727">
        <v>17947.7603617396</v>
      </c>
      <c r="DQ106" s="727">
        <v>21660.0128044755</v>
      </c>
      <c r="DR106" s="727">
        <v>19463.4629120359</v>
      </c>
      <c r="DS106" s="727">
        <v>18805.7432138685</v>
      </c>
      <c r="DT106" s="727">
        <v>19241.486140766</v>
      </c>
      <c r="DU106" s="727">
        <v>20556.0671028882</v>
      </c>
      <c r="DV106" s="727">
        <v>21920.5370264429</v>
      </c>
      <c r="DW106" s="727">
        <v>26969.7357565134</v>
      </c>
      <c r="DX106" s="727">
        <v>25864.9861507789</v>
      </c>
      <c r="DY106" s="728" t="e">
        <v>#DIV/0!</v>
      </c>
      <c r="DZ106" s="727">
        <f t="shared" si="261"/>
        <v>239238.995322783</v>
      </c>
      <c r="EA106" s="729">
        <f t="shared" si="262"/>
        <v>-0.0625622546756081</v>
      </c>
      <c r="EB106" s="730"/>
      <c r="EC106" s="199">
        <v>24638.7220029014</v>
      </c>
      <c r="ED106" s="35">
        <v>10292.5246277187</v>
      </c>
      <c r="EE106" s="35">
        <v>19047.4327715238</v>
      </c>
      <c r="EF106" s="35">
        <v>22100.8855880651</v>
      </c>
      <c r="EG106" s="35">
        <v>24647.6732655882</v>
      </c>
      <c r="EH106" s="35">
        <v>26774.4908717777</v>
      </c>
      <c r="EI106" s="35">
        <v>20649.9980145494</v>
      </c>
      <c r="EJ106" s="35">
        <v>20416.1799109047</v>
      </c>
      <c r="EK106" s="35">
        <v>19968.7439601786</v>
      </c>
      <c r="EL106" s="35">
        <v>18538.9987390846</v>
      </c>
      <c r="EM106" s="35">
        <v>23961.3356029229</v>
      </c>
      <c r="EN106" s="35">
        <v>24168.2232210586</v>
      </c>
      <c r="EO106" s="744">
        <f t="shared" si="263"/>
        <v>255205.208576274</v>
      </c>
      <c r="EP106" s="36"/>
      <c r="EQ106" s="740">
        <f>SUM(EC106:EN106)</f>
        <v>255205.208576274</v>
      </c>
    </row>
    <row r="107" s="206" customFormat="1" ht="27" customHeight="1" spans="1:147">
      <c r="A107" s="707" t="s">
        <v>112</v>
      </c>
      <c r="B107" s="707" t="s">
        <v>88</v>
      </c>
      <c r="C107" s="35">
        <v>20.7651026356911</v>
      </c>
      <c r="D107" s="36">
        <f t="shared" si="208"/>
        <v>0.327908262001424</v>
      </c>
      <c r="E107" s="35">
        <v>13.9389717250187</v>
      </c>
      <c r="F107" s="36">
        <f t="shared" si="209"/>
        <v>-0.162205677306352</v>
      </c>
      <c r="G107" s="35">
        <v>32.4654886949681</v>
      </c>
      <c r="H107" s="36">
        <f t="shared" si="210"/>
        <v>0.103150789037589</v>
      </c>
      <c r="I107" s="35">
        <v>29.7271060389297</v>
      </c>
      <c r="J107" s="36">
        <f t="shared" si="211"/>
        <v>0.139705283402646</v>
      </c>
      <c r="K107" s="35">
        <v>21.5929099382004</v>
      </c>
      <c r="L107" s="36">
        <f t="shared" si="212"/>
        <v>0.0427919159575718</v>
      </c>
      <c r="M107" s="35">
        <v>20.9971861148901</v>
      </c>
      <c r="N107" s="36">
        <f t="shared" si="213"/>
        <v>0.0836683468584118</v>
      </c>
      <c r="O107" s="35">
        <v>33.5718771760399</v>
      </c>
      <c r="P107" s="36">
        <f t="shared" si="214"/>
        <v>-0.00881296877397408</v>
      </c>
      <c r="Q107" s="127"/>
      <c r="R107" s="127"/>
      <c r="S107" s="35">
        <f t="shared" si="215"/>
        <v>173.058642323738</v>
      </c>
      <c r="T107" s="36">
        <f t="shared" si="216"/>
        <v>-0.164785709041756</v>
      </c>
      <c r="U107" s="36"/>
      <c r="V107" s="35">
        <v>15.6374526990245</v>
      </c>
      <c r="W107" s="36">
        <f t="shared" si="217"/>
        <v>-0.204645584291268</v>
      </c>
      <c r="X107" s="35">
        <v>16.637701339635</v>
      </c>
      <c r="Y107" s="36">
        <f t="shared" si="218"/>
        <v>0.632821249558995</v>
      </c>
      <c r="Z107" s="35">
        <v>29.4297833239023</v>
      </c>
      <c r="AA107" s="36">
        <f t="shared" si="219"/>
        <v>0.109267934554307</v>
      </c>
      <c r="AB107" s="35">
        <v>26.0831519093936</v>
      </c>
      <c r="AC107" s="36">
        <f t="shared" si="220"/>
        <v>0.0268269729301283</v>
      </c>
      <c r="AD107" s="35">
        <v>20.7068252138991</v>
      </c>
      <c r="AE107" s="36">
        <f t="shared" si="221"/>
        <v>0.0457055923003942</v>
      </c>
      <c r="AF107" s="35">
        <v>19.3760260468635</v>
      </c>
      <c r="AG107" s="36">
        <f t="shared" si="222"/>
        <v>-0.106087854686916</v>
      </c>
      <c r="AH107" s="35">
        <v>33.8703757397975</v>
      </c>
      <c r="AI107" s="36">
        <f t="shared" si="223"/>
        <v>0.00685801532797847</v>
      </c>
      <c r="AJ107" s="35">
        <v>45.4613671552156</v>
      </c>
      <c r="AK107" s="36">
        <f t="shared" si="224"/>
        <v>-0.0496921936853022</v>
      </c>
      <c r="AL107" s="35">
        <v>30.264803607342</v>
      </c>
      <c r="AM107" s="36">
        <f t="shared" si="225"/>
        <v>-0.0392063895605497</v>
      </c>
      <c r="AN107" s="35">
        <v>24.4885858012603</v>
      </c>
      <c r="AO107" s="36">
        <f t="shared" si="226"/>
        <v>-0.107139403368177</v>
      </c>
      <c r="AP107" s="35">
        <v>30.7722636654493</v>
      </c>
      <c r="AQ107" s="36">
        <f t="shared" si="227"/>
        <v>0.169631934696158</v>
      </c>
      <c r="AR107" s="35">
        <v>22.5520632208892</v>
      </c>
      <c r="AS107" s="36">
        <f t="shared" si="228"/>
        <v>0.0307264938476648</v>
      </c>
      <c r="AT107" s="35">
        <f t="shared" si="229"/>
        <v>315.280399722672</v>
      </c>
      <c r="AU107" s="36">
        <f t="shared" si="230"/>
        <v>0.0109851170782012</v>
      </c>
      <c r="AV107" s="36"/>
      <c r="AW107" s="35">
        <f t="shared" si="231"/>
        <v>289.974865525601</v>
      </c>
      <c r="AX107" s="35">
        <v>19.6609868382891</v>
      </c>
      <c r="AY107" s="36">
        <f t="shared" si="232"/>
        <v>0.469790768263108</v>
      </c>
      <c r="AZ107" s="35">
        <v>10.1895423912009</v>
      </c>
      <c r="BA107" s="36">
        <f t="shared" si="233"/>
        <v>-0.459153596643049</v>
      </c>
      <c r="BB107" s="35">
        <v>26.5308158715747</v>
      </c>
      <c r="BC107" s="36">
        <f t="shared" si="234"/>
        <v>-0.135872493694944</v>
      </c>
      <c r="BD107" s="35">
        <v>25.4017011599952</v>
      </c>
      <c r="BE107" s="36">
        <f t="shared" si="235"/>
        <v>-0.0290799490558135</v>
      </c>
      <c r="BF107" s="35">
        <v>19.8017734306529</v>
      </c>
      <c r="BG107" s="36">
        <f t="shared" si="236"/>
        <v>0.135221335997951</v>
      </c>
      <c r="BH107" s="35">
        <v>21.6755372979939</v>
      </c>
      <c r="BI107" s="36">
        <f t="shared" si="237"/>
        <v>0.347836986318628</v>
      </c>
      <c r="BJ107" s="35">
        <v>33.6396743375623</v>
      </c>
      <c r="BK107" s="36">
        <f t="shared" si="238"/>
        <v>-0.0172637718555356</v>
      </c>
      <c r="BL107" s="35">
        <v>47.8385706748166</v>
      </c>
      <c r="BM107" s="36">
        <f t="shared" si="239"/>
        <v>-0.0762553711335543</v>
      </c>
      <c r="BN107" s="35">
        <v>31.4997969163215</v>
      </c>
      <c r="BO107" s="36">
        <f t="shared" si="240"/>
        <v>0.0697693469043537</v>
      </c>
      <c r="BP107" s="35">
        <v>27.4271100031065</v>
      </c>
      <c r="BQ107" s="36">
        <f t="shared" si="241"/>
        <v>0.0592729333451365</v>
      </c>
      <c r="BR107" s="35">
        <v>26.3093566040869</v>
      </c>
      <c r="BS107" s="36" t="e">
        <f>#REF!/CS107-1</f>
        <v>#REF!</v>
      </c>
      <c r="BT107" s="35">
        <v>21.8797744653901</v>
      </c>
      <c r="BU107" s="36">
        <f t="shared" si="242"/>
        <v>0.00956347290525339</v>
      </c>
      <c r="BV107" s="35">
        <f t="shared" si="243"/>
        <v>311.854639990991</v>
      </c>
      <c r="BW107" s="36">
        <f t="shared" si="244"/>
        <v>-0.00723743890813555</v>
      </c>
      <c r="BX107" s="36"/>
      <c r="BY107" s="50">
        <v>13.3767249480843</v>
      </c>
      <c r="BZ107" s="721">
        <f t="shared" si="245"/>
        <v>1.19467120855336</v>
      </c>
      <c r="CA107" s="50">
        <v>18.8399928851444</v>
      </c>
      <c r="CB107" s="721">
        <f t="shared" si="246"/>
        <v>2.9815898999637</v>
      </c>
      <c r="CC107" s="41">
        <v>30.7024318494599</v>
      </c>
      <c r="CD107" s="721">
        <f t="shared" si="247"/>
        <v>1.36775687114995</v>
      </c>
      <c r="CE107" s="41">
        <v>26.1625054867215</v>
      </c>
      <c r="CF107" s="721">
        <f t="shared" si="248"/>
        <v>0.722670268778862</v>
      </c>
      <c r="CG107" s="41">
        <v>17.4430948421574</v>
      </c>
      <c r="CH107" s="721">
        <f t="shared" si="249"/>
        <v>-0.315985960167289</v>
      </c>
      <c r="CI107" s="702">
        <v>16.0817202065338</v>
      </c>
      <c r="CJ107" s="721">
        <f t="shared" si="250"/>
        <v>-0.24598343309935</v>
      </c>
      <c r="CK107" s="702">
        <v>34.2306240211358</v>
      </c>
      <c r="CL107" s="721">
        <f t="shared" si="251"/>
        <v>0.938666759337635</v>
      </c>
      <c r="CM107" s="41">
        <v>51.7876577355808</v>
      </c>
      <c r="CN107" s="721">
        <f t="shared" si="252"/>
        <v>1.66136510560535</v>
      </c>
      <c r="CO107" s="41">
        <v>29.4454098983805</v>
      </c>
      <c r="CP107" s="721">
        <f t="shared" si="253"/>
        <v>0.425003852115257</v>
      </c>
      <c r="CQ107" s="41">
        <v>25.8923919791785</v>
      </c>
      <c r="CR107" s="721">
        <f t="shared" si="254"/>
        <v>0.00670895155535134</v>
      </c>
      <c r="CS107" s="41">
        <v>28.4930592356277</v>
      </c>
      <c r="CT107" s="721">
        <f t="shared" si="255"/>
        <v>-0.0783742285542486</v>
      </c>
      <c r="CU107" s="41">
        <v>21.6725100031858</v>
      </c>
      <c r="CV107" s="721">
        <f t="shared" si="256"/>
        <v>-0.298989147298144</v>
      </c>
      <c r="CW107" s="41">
        <f t="shared" si="257"/>
        <v>314.12812309119</v>
      </c>
      <c r="CX107" s="721">
        <f t="shared" si="258"/>
        <v>0.333272849001645</v>
      </c>
      <c r="CY107" s="721"/>
      <c r="CZ107" s="721">
        <f t="shared" si="259"/>
        <v>-0.23937581345823</v>
      </c>
      <c r="DA107" s="721">
        <f t="shared" si="260"/>
        <v>0.100441367431041</v>
      </c>
      <c r="DB107" s="721"/>
      <c r="DC107" s="721"/>
      <c r="DD107" s="721"/>
      <c r="DE107" s="721"/>
      <c r="DF107" s="721"/>
      <c r="DG107" s="721"/>
      <c r="DH107" s="721"/>
      <c r="DI107" s="721"/>
      <c r="DJ107" s="721"/>
      <c r="DK107" s="721"/>
      <c r="DL107" s="222"/>
      <c r="DM107" s="742">
        <v>6.09509292141383</v>
      </c>
      <c r="DN107" s="742">
        <v>4.73177634022935</v>
      </c>
      <c r="DO107" s="731">
        <v>12.9668853350423</v>
      </c>
      <c r="DP107" s="731">
        <v>15.1871811807997</v>
      </c>
      <c r="DQ107" s="731">
        <v>25.5010772095021</v>
      </c>
      <c r="DR107" s="731">
        <v>21.3280727672032</v>
      </c>
      <c r="DS107" s="731">
        <v>17.6567859619314</v>
      </c>
      <c r="DT107" s="731">
        <v>19.4590579197518</v>
      </c>
      <c r="DU107" s="731">
        <v>20.6633896846469</v>
      </c>
      <c r="DV107" s="731">
        <v>25.7198388264802</v>
      </c>
      <c r="DW107" s="731">
        <v>35.3815386364794</v>
      </c>
      <c r="DX107" s="731">
        <v>30.9160834238942</v>
      </c>
      <c r="DY107" s="732">
        <v>-0.0624218637166704</v>
      </c>
      <c r="DZ107" s="731">
        <f t="shared" si="261"/>
        <v>235.606780207374</v>
      </c>
      <c r="EA107" s="733">
        <f t="shared" si="262"/>
        <v>-0.101748716929858</v>
      </c>
      <c r="EB107" s="743"/>
      <c r="EC107" s="199">
        <v>8.50581383213193</v>
      </c>
      <c r="ED107" s="35">
        <v>3.82755635687411</v>
      </c>
      <c r="EE107" s="35">
        <v>12.3089916814355</v>
      </c>
      <c r="EF107" s="35">
        <v>18.8741591442581</v>
      </c>
      <c r="EG107" s="35">
        <v>29.0150892110795</v>
      </c>
      <c r="EH107" s="35">
        <v>27.8711070673522</v>
      </c>
      <c r="EI107" s="35">
        <v>19.9502715817774</v>
      </c>
      <c r="EJ107" s="35">
        <v>20.5489942277154</v>
      </c>
      <c r="EK107" s="35">
        <v>21.6387709640467</v>
      </c>
      <c r="EL107" s="35">
        <v>26.7009256151269</v>
      </c>
      <c r="EM107" s="35">
        <v>40.0788683040327</v>
      </c>
      <c r="EN107" s="35">
        <v>32.9744073880063</v>
      </c>
      <c r="EO107" s="724">
        <f t="shared" si="263"/>
        <v>262.294955373837</v>
      </c>
      <c r="EP107" s="36"/>
      <c r="EQ107" s="740">
        <f>SUM(EC107:EN107)</f>
        <v>262.294955373837</v>
      </c>
    </row>
    <row r="108" s="206" customFormat="1" ht="27" customHeight="1" spans="1:147">
      <c r="A108" s="45"/>
      <c r="B108" s="707" t="s">
        <v>89</v>
      </c>
      <c r="C108" s="35">
        <v>1.4493</v>
      </c>
      <c r="D108" s="36">
        <f t="shared" si="208"/>
        <v>-0.379925555127711</v>
      </c>
      <c r="E108" s="35">
        <v>0</v>
      </c>
      <c r="F108" s="36">
        <f t="shared" si="209"/>
        <v>-1</v>
      </c>
      <c r="G108" s="35">
        <v>3.5427</v>
      </c>
      <c r="H108" s="36">
        <f t="shared" si="210"/>
        <v>-0.501821045378482</v>
      </c>
      <c r="I108" s="35">
        <v>10.853</v>
      </c>
      <c r="J108" s="36">
        <f t="shared" si="211"/>
        <v>0.487976089281307</v>
      </c>
      <c r="K108" s="35">
        <v>7.9415</v>
      </c>
      <c r="L108" s="36">
        <f t="shared" si="212"/>
        <v>-0.0269915949913009</v>
      </c>
      <c r="M108" s="35">
        <v>7.4156</v>
      </c>
      <c r="N108" s="36">
        <f t="shared" si="213"/>
        <v>-0.268411550565788</v>
      </c>
      <c r="O108" s="35">
        <v>7.9012</v>
      </c>
      <c r="P108" s="36">
        <f t="shared" si="214"/>
        <v>-0.414522092876779</v>
      </c>
      <c r="Q108" s="127"/>
      <c r="R108" s="127"/>
      <c r="S108" s="35">
        <f t="shared" si="215"/>
        <v>39.1033</v>
      </c>
      <c r="T108" s="36">
        <f t="shared" si="216"/>
        <v>-0.405107429139974</v>
      </c>
      <c r="U108" s="36"/>
      <c r="V108" s="35">
        <v>2.3373</v>
      </c>
      <c r="W108" s="36">
        <f t="shared" si="217"/>
        <v>-0.650256625117838</v>
      </c>
      <c r="X108" s="35">
        <v>2.9957</v>
      </c>
      <c r="Y108" s="36">
        <f t="shared" si="218"/>
        <v>0.119134787806336</v>
      </c>
      <c r="Z108" s="35">
        <v>7.1113</v>
      </c>
      <c r="AA108" s="36">
        <f t="shared" si="219"/>
        <v>-0.28810114924118</v>
      </c>
      <c r="AB108" s="35">
        <v>7.2938</v>
      </c>
      <c r="AC108" s="36">
        <f t="shared" si="220"/>
        <v>-0.0996642472720092</v>
      </c>
      <c r="AD108" s="35">
        <v>8.1618</v>
      </c>
      <c r="AE108" s="36">
        <f t="shared" si="221"/>
        <v>0.031220387380444</v>
      </c>
      <c r="AF108" s="35">
        <v>10.1363</v>
      </c>
      <c r="AG108" s="36">
        <f t="shared" si="222"/>
        <v>-0.527905211239398</v>
      </c>
      <c r="AH108" s="35">
        <v>13.4953</v>
      </c>
      <c r="AI108" s="36">
        <f t="shared" si="223"/>
        <v>-0.129565727775234</v>
      </c>
      <c r="AJ108" s="35">
        <v>14.2002</v>
      </c>
      <c r="AK108" s="36">
        <f t="shared" si="224"/>
        <v>-0.352148146120471</v>
      </c>
      <c r="AL108" s="35">
        <v>12.5305</v>
      </c>
      <c r="AM108" s="36">
        <f t="shared" si="225"/>
        <v>-0.360551750885394</v>
      </c>
      <c r="AN108" s="35">
        <v>6.7948</v>
      </c>
      <c r="AO108" s="36">
        <f t="shared" si="226"/>
        <v>-0.564220801292946</v>
      </c>
      <c r="AP108" s="35">
        <v>10.3543</v>
      </c>
      <c r="AQ108" s="36">
        <f t="shared" si="227"/>
        <v>0.00510595338633424</v>
      </c>
      <c r="AR108" s="35">
        <v>6.9012</v>
      </c>
      <c r="AS108" s="36">
        <f t="shared" si="228"/>
        <v>-0.123846280802874</v>
      </c>
      <c r="AT108" s="35">
        <f t="shared" si="229"/>
        <v>102.3125</v>
      </c>
      <c r="AU108" s="36">
        <f t="shared" si="230"/>
        <v>-0.306944207357551</v>
      </c>
      <c r="AV108" s="36"/>
      <c r="AW108" s="35">
        <f t="shared" si="231"/>
        <v>139.7485</v>
      </c>
      <c r="AX108" s="35">
        <v>6.6829</v>
      </c>
      <c r="AY108" s="36">
        <f t="shared" si="232"/>
        <v>0.136663605129775</v>
      </c>
      <c r="AZ108" s="35">
        <v>2.6768</v>
      </c>
      <c r="BA108" s="36">
        <f t="shared" si="233"/>
        <v>-0.587187514457999</v>
      </c>
      <c r="BB108" s="35">
        <v>9.9892</v>
      </c>
      <c r="BC108" s="36">
        <f t="shared" si="234"/>
        <v>-0.238686075756421</v>
      </c>
      <c r="BD108" s="35">
        <v>8.1012</v>
      </c>
      <c r="BE108" s="36">
        <f t="shared" si="235"/>
        <v>-0.420125119894636</v>
      </c>
      <c r="BF108" s="35">
        <v>7.9147</v>
      </c>
      <c r="BG108" s="36">
        <f t="shared" si="236"/>
        <v>0.283021008948256</v>
      </c>
      <c r="BH108" s="35">
        <v>21.4709</v>
      </c>
      <c r="BI108" s="36">
        <f t="shared" si="237"/>
        <v>3.68469628207366</v>
      </c>
      <c r="BJ108" s="35">
        <v>15.5041</v>
      </c>
      <c r="BK108" s="36">
        <f t="shared" si="238"/>
        <v>0.32537463989263</v>
      </c>
      <c r="BL108" s="35">
        <v>21.9189</v>
      </c>
      <c r="BM108" s="36">
        <f t="shared" si="239"/>
        <v>-0.186296274297254</v>
      </c>
      <c r="BN108" s="35">
        <v>19.5958</v>
      </c>
      <c r="BO108" s="36">
        <f t="shared" si="240"/>
        <v>0.72744582943987</v>
      </c>
      <c r="BP108" s="35">
        <v>15.5923</v>
      </c>
      <c r="BQ108" s="36">
        <f t="shared" si="241"/>
        <v>0.768476091098811</v>
      </c>
      <c r="BR108" s="35">
        <v>10.3017</v>
      </c>
      <c r="BS108" s="36" t="e">
        <f>#REF!/CS108-1</f>
        <v>#REF!</v>
      </c>
      <c r="BT108" s="35">
        <v>7.8767</v>
      </c>
      <c r="BU108" s="36">
        <f t="shared" si="242"/>
        <v>-0.165135086436241</v>
      </c>
      <c r="BV108" s="35">
        <f t="shared" si="243"/>
        <v>147.6252</v>
      </c>
      <c r="BW108" s="36">
        <f t="shared" si="244"/>
        <v>0.121882860768921</v>
      </c>
      <c r="BX108" s="36"/>
      <c r="BY108" s="50">
        <v>5.8794</v>
      </c>
      <c r="BZ108" s="721">
        <f t="shared" si="245"/>
        <v>0.7241642228739</v>
      </c>
      <c r="CA108" s="50">
        <v>6.4843</v>
      </c>
      <c r="CB108" s="721">
        <f t="shared" si="246"/>
        <v>2.95360039022011</v>
      </c>
      <c r="CC108" s="41">
        <v>13.121</v>
      </c>
      <c r="CD108" s="721">
        <f t="shared" si="247"/>
        <v>3.06310965224662</v>
      </c>
      <c r="CE108" s="41">
        <v>13.9706</v>
      </c>
      <c r="CF108" s="721">
        <f t="shared" si="248"/>
        <v>3.57542411737735</v>
      </c>
      <c r="CG108" s="41">
        <v>6.1688</v>
      </c>
      <c r="CH108" s="721">
        <f t="shared" si="249"/>
        <v>0.81890019165561</v>
      </c>
      <c r="CI108" s="702">
        <v>4.5832</v>
      </c>
      <c r="CJ108" s="721">
        <f t="shared" si="250"/>
        <v>0.0532944177602095</v>
      </c>
      <c r="CK108" s="702">
        <v>11.6979</v>
      </c>
      <c r="CL108" s="721">
        <f t="shared" si="251"/>
        <v>1.51297529538131</v>
      </c>
      <c r="CM108" s="41">
        <v>26.9372</v>
      </c>
      <c r="CN108" s="721">
        <f t="shared" si="252"/>
        <v>15.9023028173433</v>
      </c>
      <c r="CO108" s="41">
        <v>11.3438</v>
      </c>
      <c r="CP108" s="721">
        <f t="shared" si="253"/>
        <v>1.73258979114976</v>
      </c>
      <c r="CQ108" s="41">
        <v>8.8168</v>
      </c>
      <c r="CR108" s="721">
        <f t="shared" si="254"/>
        <v>1.49308638484377</v>
      </c>
      <c r="CS108" s="41">
        <v>13.1493</v>
      </c>
      <c r="CT108" s="721">
        <f t="shared" si="255"/>
        <v>1.7714243561101</v>
      </c>
      <c r="CU108" s="41">
        <v>9.4347</v>
      </c>
      <c r="CV108" s="721">
        <f t="shared" si="256"/>
        <v>0.98851325717658</v>
      </c>
      <c r="CW108" s="41">
        <f t="shared" si="257"/>
        <v>131.587</v>
      </c>
      <c r="CX108" s="721">
        <f t="shared" si="258"/>
        <v>2.05072682169105</v>
      </c>
      <c r="CY108" s="721"/>
      <c r="CZ108" s="721">
        <f t="shared" si="259"/>
        <v>-0.282494125162556</v>
      </c>
      <c r="DA108" s="721">
        <f t="shared" si="260"/>
        <v>0.491391434534071</v>
      </c>
      <c r="DB108" s="721"/>
      <c r="DC108" s="721"/>
      <c r="DD108" s="721"/>
      <c r="DE108" s="721"/>
      <c r="DF108" s="721"/>
      <c r="DG108" s="721"/>
      <c r="DH108" s="721"/>
      <c r="DI108" s="721"/>
      <c r="DJ108" s="721"/>
      <c r="DK108" s="721"/>
      <c r="DL108" s="735" t="s">
        <v>112</v>
      </c>
      <c r="DM108" s="742">
        <v>3.41</v>
      </c>
      <c r="DN108" s="742">
        <v>1.6401</v>
      </c>
      <c r="DO108" s="731">
        <v>3.2293</v>
      </c>
      <c r="DP108" s="731">
        <v>3.0534</v>
      </c>
      <c r="DQ108" s="731">
        <v>3.3915</v>
      </c>
      <c r="DR108" s="731">
        <v>4.3513</v>
      </c>
      <c r="DS108" s="731">
        <v>4.655</v>
      </c>
      <c r="DT108" s="731">
        <v>1.5937</v>
      </c>
      <c r="DU108" s="731">
        <v>4.1513</v>
      </c>
      <c r="DV108" s="731">
        <v>3.5365</v>
      </c>
      <c r="DW108" s="731">
        <v>5.3763</v>
      </c>
      <c r="DX108" s="731">
        <v>4.7446</v>
      </c>
      <c r="DY108" s="732"/>
      <c r="DZ108" s="731">
        <f t="shared" si="261"/>
        <v>43.133</v>
      </c>
      <c r="EA108" s="733" t="str">
        <f t="shared" si="262"/>
        <v/>
      </c>
      <c r="EB108" s="747"/>
      <c r="EC108" s="199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744"/>
      <c r="EP108" s="36"/>
      <c r="EQ108" s="740">
        <f>SUM(EC108:EN108)</f>
        <v>0</v>
      </c>
    </row>
    <row r="109" s="206" customFormat="1" ht="27" customHeight="1" spans="1:147">
      <c r="A109" s="45"/>
      <c r="B109" s="707" t="s">
        <v>90</v>
      </c>
      <c r="C109" s="35">
        <v>19.3158026356911</v>
      </c>
      <c r="D109" s="36">
        <f t="shared" si="208"/>
        <v>0.45229931360922</v>
      </c>
      <c r="E109" s="35">
        <v>13.9389717250187</v>
      </c>
      <c r="F109" s="36">
        <f t="shared" si="209"/>
        <v>0.0217688283405231</v>
      </c>
      <c r="G109" s="35">
        <v>28.9227886949681</v>
      </c>
      <c r="H109" s="36">
        <f t="shared" si="210"/>
        <v>0.295911925340949</v>
      </c>
      <c r="I109" s="35">
        <v>18.8741060389297</v>
      </c>
      <c r="J109" s="36">
        <f t="shared" si="211"/>
        <v>0.00451075321516159</v>
      </c>
      <c r="K109" s="35">
        <v>13.6514099382004</v>
      </c>
      <c r="L109" s="36">
        <f t="shared" si="212"/>
        <v>0.0881931048712039</v>
      </c>
      <c r="M109" s="35">
        <v>13.5815861148901</v>
      </c>
      <c r="N109" s="36">
        <f t="shared" si="213"/>
        <v>0.469912208003232</v>
      </c>
      <c r="O109" s="35">
        <v>25.6706771760399</v>
      </c>
      <c r="P109" s="36">
        <f t="shared" si="214"/>
        <v>0.259905852811079</v>
      </c>
      <c r="Q109" s="127"/>
      <c r="R109" s="127"/>
      <c r="S109" s="35">
        <f t="shared" si="215"/>
        <v>133.955342323738</v>
      </c>
      <c r="T109" s="36">
        <f t="shared" si="216"/>
        <v>-0.0531249654303306</v>
      </c>
      <c r="U109" s="36"/>
      <c r="V109" s="35">
        <v>13.3001526990245</v>
      </c>
      <c r="W109" s="36">
        <f t="shared" si="217"/>
        <v>0.0248161277350381</v>
      </c>
      <c r="X109" s="35">
        <v>13.642001339635</v>
      </c>
      <c r="Y109" s="36">
        <f t="shared" si="218"/>
        <v>0.815848411841305</v>
      </c>
      <c r="Z109" s="35">
        <v>22.3184833239023</v>
      </c>
      <c r="AA109" s="36">
        <f t="shared" si="219"/>
        <v>0.349232354153178</v>
      </c>
      <c r="AB109" s="35">
        <v>18.7893519093936</v>
      </c>
      <c r="AC109" s="36">
        <f t="shared" si="220"/>
        <v>0.0860582439566053</v>
      </c>
      <c r="AD109" s="35">
        <v>12.5450252138991</v>
      </c>
      <c r="AE109" s="36">
        <f t="shared" si="221"/>
        <v>0.0553501908678007</v>
      </c>
      <c r="AF109" s="35">
        <v>9.2397260468635</v>
      </c>
      <c r="AG109" s="36">
        <f t="shared" si="222"/>
        <v>44.1517203239217</v>
      </c>
      <c r="AH109" s="35">
        <v>20.3750757397975</v>
      </c>
      <c r="AI109" s="36">
        <f t="shared" si="223"/>
        <v>0.123486654491926</v>
      </c>
      <c r="AJ109" s="35">
        <v>31.2611671552156</v>
      </c>
      <c r="AK109" s="36">
        <f t="shared" si="224"/>
        <v>0.206078871425969</v>
      </c>
      <c r="AL109" s="35">
        <v>17.734303607342</v>
      </c>
      <c r="AM109" s="36">
        <f t="shared" si="225"/>
        <v>0.489777234655244</v>
      </c>
      <c r="AN109" s="35">
        <v>17.6937858012603</v>
      </c>
      <c r="AO109" s="36">
        <f t="shared" si="226"/>
        <v>0.495062936930621</v>
      </c>
      <c r="AP109" s="35">
        <v>20.4179636654493</v>
      </c>
      <c r="AQ109" s="36">
        <f t="shared" si="227"/>
        <v>0.275512348274413</v>
      </c>
      <c r="AR109" s="35">
        <v>15.6508632208892</v>
      </c>
      <c r="AS109" s="36">
        <f t="shared" si="228"/>
        <v>0.117673355202942</v>
      </c>
      <c r="AT109" s="35">
        <f t="shared" si="229"/>
        <v>212.967899722672</v>
      </c>
      <c r="AU109" s="36">
        <f t="shared" si="230"/>
        <v>0.296770540862558</v>
      </c>
      <c r="AV109" s="36"/>
      <c r="AW109" s="35">
        <f t="shared" si="231"/>
        <v>150.2263655256</v>
      </c>
      <c r="AX109" s="35">
        <v>12.9780868382891</v>
      </c>
      <c r="AY109" s="36">
        <f t="shared" si="232"/>
        <v>0.731028990760929</v>
      </c>
      <c r="AZ109" s="35">
        <v>7.5127423912009</v>
      </c>
      <c r="BA109" s="36">
        <f t="shared" si="233"/>
        <v>-0.391961061104579</v>
      </c>
      <c r="BB109" s="35">
        <v>16.5416158715747</v>
      </c>
      <c r="BC109" s="36">
        <f t="shared" si="234"/>
        <v>-0.0591428495010288</v>
      </c>
      <c r="BD109" s="35">
        <v>17.3005011599952</v>
      </c>
      <c r="BE109" s="36">
        <f t="shared" si="235"/>
        <v>0.419015360547012</v>
      </c>
      <c r="BF109" s="35">
        <v>11.8870734306529</v>
      </c>
      <c r="BG109" s="36">
        <f t="shared" si="236"/>
        <v>0.0543518328263128</v>
      </c>
      <c r="BH109" s="35">
        <v>0.204637297993898</v>
      </c>
      <c r="BI109" s="36">
        <f t="shared" si="237"/>
        <v>-0.982203162292343</v>
      </c>
      <c r="BJ109" s="35">
        <v>18.1355743375623</v>
      </c>
      <c r="BK109" s="36">
        <f t="shared" si="238"/>
        <v>-0.195145055673205</v>
      </c>
      <c r="BL109" s="35">
        <v>25.9196706748166</v>
      </c>
      <c r="BM109" s="36">
        <f t="shared" si="239"/>
        <v>0.0430258851008971</v>
      </c>
      <c r="BN109" s="35">
        <v>11.9039969163215</v>
      </c>
      <c r="BO109" s="36">
        <f t="shared" si="240"/>
        <v>-0.342379104226165</v>
      </c>
      <c r="BP109" s="35">
        <v>11.8348100031065</v>
      </c>
      <c r="BQ109" s="36">
        <f t="shared" si="241"/>
        <v>-0.306916561514381</v>
      </c>
      <c r="BR109" s="35">
        <v>16.0076566040869</v>
      </c>
      <c r="BS109" s="36" t="e">
        <f>#REF!/CS109-1</f>
        <v>#REF!</v>
      </c>
      <c r="BT109" s="35">
        <v>14.0030744653901</v>
      </c>
      <c r="BU109" s="36">
        <f t="shared" si="242"/>
        <v>0.144246761613782</v>
      </c>
      <c r="BV109" s="35">
        <f t="shared" si="243"/>
        <v>164.229439990991</v>
      </c>
      <c r="BW109" s="36">
        <f t="shared" si="244"/>
        <v>-0.100315385323076</v>
      </c>
      <c r="BX109" s="36"/>
      <c r="BY109" s="50">
        <v>7.4973249480843</v>
      </c>
      <c r="BZ109" s="721">
        <f t="shared" si="245"/>
        <v>1.79220316298648</v>
      </c>
      <c r="CA109" s="50">
        <v>12.3556928851444</v>
      </c>
      <c r="CB109" s="721">
        <f t="shared" si="246"/>
        <v>2.99643802437218</v>
      </c>
      <c r="CC109" s="41">
        <v>17.5814318494599</v>
      </c>
      <c r="CD109" s="721">
        <f t="shared" si="247"/>
        <v>0.805522749689313</v>
      </c>
      <c r="CE109" s="41">
        <v>12.1919054867215</v>
      </c>
      <c r="CF109" s="721">
        <f t="shared" si="248"/>
        <v>0.0047902879618249</v>
      </c>
      <c r="CG109" s="41">
        <v>11.2742948421574</v>
      </c>
      <c r="CH109" s="721">
        <f t="shared" si="249"/>
        <v>-0.490071893490934</v>
      </c>
      <c r="CI109" s="702">
        <v>11.4985202065338</v>
      </c>
      <c r="CJ109" s="721">
        <f t="shared" si="250"/>
        <v>-0.322691045924384</v>
      </c>
      <c r="CK109" s="702">
        <v>22.5327240211358</v>
      </c>
      <c r="CL109" s="721">
        <f t="shared" si="251"/>
        <v>0.733048374054958</v>
      </c>
      <c r="CM109" s="41">
        <v>24.8504577355808</v>
      </c>
      <c r="CN109" s="721">
        <f t="shared" si="252"/>
        <v>0.390985719245307</v>
      </c>
      <c r="CO109" s="41">
        <v>18.1016098983805</v>
      </c>
      <c r="CP109" s="721">
        <f t="shared" si="253"/>
        <v>0.0962640249714457</v>
      </c>
      <c r="CQ109" s="41">
        <v>17.0755919791785</v>
      </c>
      <c r="CR109" s="721">
        <f t="shared" si="254"/>
        <v>-0.230251491322154</v>
      </c>
      <c r="CS109" s="41">
        <v>15.3437592356277</v>
      </c>
      <c r="CT109" s="721">
        <f t="shared" si="255"/>
        <v>-0.413722218679471</v>
      </c>
      <c r="CU109" s="41">
        <v>12.2378100031858</v>
      </c>
      <c r="CV109" s="721">
        <f t="shared" si="256"/>
        <v>-0.532399069438576</v>
      </c>
      <c r="CW109" s="41">
        <f t="shared" si="257"/>
        <v>182.54112309119</v>
      </c>
      <c r="CX109" s="721">
        <f t="shared" si="258"/>
        <v>-0.051605247766643</v>
      </c>
      <c r="CY109" s="721"/>
      <c r="CZ109" s="721">
        <f t="shared" si="259"/>
        <v>-0.202424268052251</v>
      </c>
      <c r="DA109" s="721">
        <f t="shared" si="260"/>
        <v>-0.101421534647967</v>
      </c>
      <c r="DB109" s="721"/>
      <c r="DC109" s="721"/>
      <c r="DD109" s="721"/>
      <c r="DE109" s="721"/>
      <c r="DF109" s="721"/>
      <c r="DG109" s="721"/>
      <c r="DH109" s="721"/>
      <c r="DI109" s="721"/>
      <c r="DJ109" s="721"/>
      <c r="DK109" s="721"/>
      <c r="DL109" s="206"/>
      <c r="DM109" s="742">
        <v>2.68509292141383</v>
      </c>
      <c r="DN109" s="742">
        <v>3.09167634022935</v>
      </c>
      <c r="DO109" s="731">
        <v>9.7375853350423</v>
      </c>
      <c r="DP109" s="731">
        <v>12.1337811807997</v>
      </c>
      <c r="DQ109" s="731">
        <v>22.1095772095021</v>
      </c>
      <c r="DR109" s="731">
        <v>16.9767727672032</v>
      </c>
      <c r="DS109" s="731">
        <v>13.0017859619314</v>
      </c>
      <c r="DT109" s="731">
        <v>17.8653579197518</v>
      </c>
      <c r="DU109" s="731">
        <v>16.5120896846469</v>
      </c>
      <c r="DV109" s="731">
        <v>22.1833388264802</v>
      </c>
      <c r="DW109" s="731">
        <v>30.0052386364794</v>
      </c>
      <c r="DX109" s="731">
        <v>26.1714834238942</v>
      </c>
      <c r="DY109" s="732">
        <v>-0.206309210778614</v>
      </c>
      <c r="DZ109" s="731">
        <f t="shared" si="261"/>
        <v>192.473780207374</v>
      </c>
      <c r="EA109" s="733">
        <f t="shared" si="262"/>
        <v>-0.266193358796968</v>
      </c>
      <c r="EB109" s="733"/>
      <c r="EC109" s="199">
        <v>8.50581383213193</v>
      </c>
      <c r="ED109" s="35">
        <v>3.82755635687411</v>
      </c>
      <c r="EE109" s="35">
        <v>12.3089916814355</v>
      </c>
      <c r="EF109" s="35">
        <v>18.8741591442581</v>
      </c>
      <c r="EG109" s="35">
        <v>29.0150892110795</v>
      </c>
      <c r="EH109" s="35">
        <v>27.8711070673522</v>
      </c>
      <c r="EI109" s="35">
        <v>19.9502715817774</v>
      </c>
      <c r="EJ109" s="35">
        <v>20.5489942277154</v>
      </c>
      <c r="EK109" s="35">
        <v>21.6387709640467</v>
      </c>
      <c r="EL109" s="35">
        <v>26.7009256151269</v>
      </c>
      <c r="EM109" s="35">
        <v>40.0788683040327</v>
      </c>
      <c r="EN109" s="35">
        <v>32.9744073880063</v>
      </c>
      <c r="EO109" s="724">
        <f t="shared" si="263"/>
        <v>262.294955373837</v>
      </c>
      <c r="EP109" s="36"/>
      <c r="EQ109" s="740">
        <f>SUM(EC109:EN109)</f>
        <v>262.294955373837</v>
      </c>
    </row>
    <row r="110" s="206" customFormat="1" ht="27" customHeight="1" spans="1:147">
      <c r="A110" s="45"/>
      <c r="B110" s="707" t="s">
        <v>91</v>
      </c>
      <c r="C110" s="35">
        <f>C111+C112</f>
        <v>1987.18996681703</v>
      </c>
      <c r="D110" s="36">
        <f t="shared" si="208"/>
        <v>0.0781336161696005</v>
      </c>
      <c r="E110" s="35">
        <f>E111+E112</f>
        <v>1524.86655591822</v>
      </c>
      <c r="F110" s="36">
        <f t="shared" si="209"/>
        <v>-0.179872065417899</v>
      </c>
      <c r="G110" s="35">
        <f>G111+G112</f>
        <v>3417.11969256471</v>
      </c>
      <c r="H110" s="36">
        <f t="shared" si="210"/>
        <v>0.0533634875652547</v>
      </c>
      <c r="I110" s="35">
        <f>I111+I112</f>
        <v>2365.3031822674</v>
      </c>
      <c r="J110" s="36">
        <f t="shared" si="211"/>
        <v>0.0539812852174733</v>
      </c>
      <c r="K110" s="35">
        <f>K111+K112</f>
        <v>1368.51481112585</v>
      </c>
      <c r="L110" s="36">
        <f t="shared" si="212"/>
        <v>-0.0542109785970973</v>
      </c>
      <c r="M110" s="35">
        <f>M111+M112</f>
        <v>1254.68303353457</v>
      </c>
      <c r="N110" s="36">
        <f t="shared" si="213"/>
        <v>-0.0736097828139908</v>
      </c>
      <c r="O110" s="35">
        <f>O111+O112</f>
        <v>2958.41578945545</v>
      </c>
      <c r="P110" s="36">
        <f t="shared" si="214"/>
        <v>-0.0452538919002092</v>
      </c>
      <c r="Q110" s="127"/>
      <c r="R110" s="127"/>
      <c r="S110" s="35">
        <f t="shared" si="215"/>
        <v>14876.0930316832</v>
      </c>
      <c r="T110" s="36">
        <f t="shared" si="216"/>
        <v>-0.223732931235191</v>
      </c>
      <c r="U110" s="36"/>
      <c r="V110" s="35">
        <f>V111+V112</f>
        <v>1843.17596354813</v>
      </c>
      <c r="W110" s="36">
        <f t="shared" si="217"/>
        <v>-0.186978757176839</v>
      </c>
      <c r="X110" s="35">
        <f>X111+X112</f>
        <v>1859.30327650066</v>
      </c>
      <c r="Y110" s="36">
        <f t="shared" si="218"/>
        <v>0.274452603533511</v>
      </c>
      <c r="Z110" s="35">
        <f>Z111+Z112</f>
        <v>3244.00810632144</v>
      </c>
      <c r="AA110" s="36">
        <f t="shared" si="219"/>
        <v>-0.00784300668434412</v>
      </c>
      <c r="AB110" s="35">
        <f>AB111+AB112</f>
        <v>2244.16051351363</v>
      </c>
      <c r="AC110" s="36">
        <f t="shared" si="220"/>
        <v>0.078753161746606</v>
      </c>
      <c r="AD110" s="35">
        <f>AD111+AD112</f>
        <v>1446.95569535784</v>
      </c>
      <c r="AE110" s="36">
        <f t="shared" si="221"/>
        <v>0.159437381000093</v>
      </c>
      <c r="AF110" s="35">
        <f>AF111+AF112</f>
        <v>1354.37854400685</v>
      </c>
      <c r="AG110" s="36">
        <f t="shared" si="222"/>
        <v>0.0961688876215794</v>
      </c>
      <c r="AH110" s="35">
        <f>AH111+AH112</f>
        <v>3098.64137110076</v>
      </c>
      <c r="AI110" s="36">
        <f t="shared" si="223"/>
        <v>0.0436766040939818</v>
      </c>
      <c r="AJ110" s="35">
        <f>AJ111+AJ112</f>
        <v>4073.0041396097</v>
      </c>
      <c r="AK110" s="36">
        <f t="shared" si="224"/>
        <v>-0.0610715982176702</v>
      </c>
      <c r="AL110" s="35">
        <f>AL111+AL112</f>
        <v>2800.68205239044</v>
      </c>
      <c r="AM110" s="36">
        <f t="shared" si="225"/>
        <v>-0.0896119232453882</v>
      </c>
      <c r="AN110" s="35">
        <f>AN111+AN112</f>
        <v>2269.22757328673</v>
      </c>
      <c r="AO110" s="36">
        <f t="shared" si="226"/>
        <v>-0.233497116163336</v>
      </c>
      <c r="AP110" s="35">
        <f>AP111+AP112</f>
        <v>2264.27126132221</v>
      </c>
      <c r="AQ110" s="36">
        <f t="shared" si="227"/>
        <v>-0.200572986092729</v>
      </c>
      <c r="AR110" s="35">
        <f>AR111+AR112</f>
        <v>1370.94973743393</v>
      </c>
      <c r="AS110" s="36">
        <f t="shared" si="228"/>
        <v>0.0758740000577678</v>
      </c>
      <c r="AT110" s="35">
        <f t="shared" si="229"/>
        <v>27868.7582343923</v>
      </c>
      <c r="AU110" s="36">
        <f t="shared" si="230"/>
        <v>-0.0393354602327632</v>
      </c>
      <c r="AV110" s="36"/>
      <c r="AW110" s="35">
        <f t="shared" si="231"/>
        <v>27735.6089462688</v>
      </c>
      <c r="AX110" s="35">
        <f>AX111+AX112</f>
        <v>2267.06987033675</v>
      </c>
      <c r="AY110" s="36">
        <f t="shared" si="232"/>
        <v>0.279985163076647</v>
      </c>
      <c r="AZ110" s="35">
        <f>AZ111+AZ112</f>
        <v>1458.90343143841</v>
      </c>
      <c r="BA110" s="36">
        <f t="shared" si="233"/>
        <v>-0.350550171613611</v>
      </c>
      <c r="BB110" s="35">
        <f>BB111+BB112</f>
        <v>3269.65200888259</v>
      </c>
      <c r="BC110" s="36">
        <f t="shared" si="234"/>
        <v>-0.0855544696230786</v>
      </c>
      <c r="BD110" s="35">
        <f>BD111+BD112</f>
        <v>2080.32809830204</v>
      </c>
      <c r="BE110" s="36">
        <f t="shared" si="235"/>
        <v>-0.192287146349058</v>
      </c>
      <c r="BF110" s="35">
        <f>BF111+BF112</f>
        <v>1247.98089061933</v>
      </c>
      <c r="BG110" s="36">
        <f t="shared" si="236"/>
        <v>-0.0411858399224843</v>
      </c>
      <c r="BH110" s="35">
        <f>BH111+BH112</f>
        <v>1235.55645421165</v>
      </c>
      <c r="BI110" s="36">
        <f t="shared" si="237"/>
        <v>0.0254638204757736</v>
      </c>
      <c r="BJ110" s="35">
        <f>BJ111+BJ112</f>
        <v>2968.96697592517</v>
      </c>
      <c r="BK110" s="36">
        <f t="shared" si="238"/>
        <v>-0.21842412568908</v>
      </c>
      <c r="BL110" s="35">
        <f>BL111+BL112</f>
        <v>4337.92835734661</v>
      </c>
      <c r="BM110" s="36">
        <f t="shared" si="239"/>
        <v>-0.234044805660071</v>
      </c>
      <c r="BN110" s="35">
        <f>BN111+BN112</f>
        <v>3076.36064652167</v>
      </c>
      <c r="BO110" s="36">
        <f t="shared" si="240"/>
        <v>-0.0415767874673865</v>
      </c>
      <c r="BP110" s="35">
        <f>BP111+BP112</f>
        <v>2960.49450189712</v>
      </c>
      <c r="BQ110" s="36">
        <f t="shared" si="241"/>
        <v>0.0202161062844868</v>
      </c>
      <c r="BR110" s="35">
        <f>BR111+BR112</f>
        <v>2832.36771078748</v>
      </c>
      <c r="BS110" s="36">
        <f>BR110/CS110-1</f>
        <v>0.0526941615513179</v>
      </c>
      <c r="BT110" s="35">
        <f>BT111+BT112</f>
        <v>1274.26607331371</v>
      </c>
      <c r="BU110" s="36">
        <f t="shared" si="242"/>
        <v>-0.472468659316506</v>
      </c>
      <c r="BV110" s="35">
        <f t="shared" si="243"/>
        <v>29009.8750195825</v>
      </c>
      <c r="BW110" s="36">
        <f t="shared" si="244"/>
        <v>-0.130269439368913</v>
      </c>
      <c r="BX110" s="36"/>
      <c r="BY110" s="41">
        <f>BY111+BY112</f>
        <v>1771.1688664324</v>
      </c>
      <c r="BZ110" s="721">
        <f t="shared" si="245"/>
        <v>2.55496389785272</v>
      </c>
      <c r="CA110" s="41">
        <f>CA111+CA112</f>
        <v>2246.36818376437</v>
      </c>
      <c r="CB110" s="721">
        <f t="shared" si="246"/>
        <v>5.50089035050568</v>
      </c>
      <c r="CC110" s="41">
        <f>SUM(CC111:CC112)</f>
        <v>3575.5568814852</v>
      </c>
      <c r="CD110" s="721">
        <f t="shared" si="247"/>
        <v>2.57319510881534</v>
      </c>
      <c r="CE110" s="41">
        <v>2575.57879498729</v>
      </c>
      <c r="CF110" s="721">
        <f t="shared" si="248"/>
        <v>1.03113692674003</v>
      </c>
      <c r="CG110" s="41">
        <v>1301.5878807197</v>
      </c>
      <c r="CH110" s="721">
        <f t="shared" si="249"/>
        <v>-0.355433526547443</v>
      </c>
      <c r="CI110" s="41">
        <f>CI111+CI112</f>
        <v>1204.87571530159</v>
      </c>
      <c r="CJ110" s="721">
        <f t="shared" si="250"/>
        <v>-0.252787439861634</v>
      </c>
      <c r="CK110" s="41">
        <f>CK111+CK112</f>
        <v>3798.69322161815</v>
      </c>
      <c r="CL110" s="721">
        <f t="shared" si="251"/>
        <v>1.36073925795185</v>
      </c>
      <c r="CM110" s="41">
        <v>5663.42312109375</v>
      </c>
      <c r="CN110" s="721">
        <f t="shared" si="252"/>
        <v>2.29820691192132</v>
      </c>
      <c r="CO110" s="41">
        <f>SUM(CO111:CO112)</f>
        <v>3209.81441840547</v>
      </c>
      <c r="CP110" s="721">
        <f t="shared" si="253"/>
        <v>0.913648774254363</v>
      </c>
      <c r="CQ110" s="41">
        <f>SUM(CQ111:CQ112)</f>
        <v>2901.83078238091</v>
      </c>
      <c r="CR110" s="721">
        <f t="shared" si="254"/>
        <v>0.392984442294712</v>
      </c>
      <c r="CS110" s="41">
        <f>CS111+CS112</f>
        <v>2690.58936036419</v>
      </c>
      <c r="CT110" s="721">
        <f t="shared" si="255"/>
        <v>-0.0226492805828143</v>
      </c>
      <c r="CU110" s="41">
        <f>CU111+CU112</f>
        <v>2415.52676597889</v>
      </c>
      <c r="CV110" s="721">
        <f t="shared" si="256"/>
        <v>-0.12256516833123</v>
      </c>
      <c r="CW110" s="41">
        <f t="shared" si="257"/>
        <v>33355.0139925319</v>
      </c>
      <c r="CX110" s="721">
        <f t="shared" si="258"/>
        <v>0.72987278830833</v>
      </c>
      <c r="CY110" s="721"/>
      <c r="CZ110" s="721">
        <f t="shared" si="259"/>
        <v>-0.102231354378087</v>
      </c>
      <c r="DA110" s="721">
        <f t="shared" si="260"/>
        <v>-0.0727959132900908</v>
      </c>
      <c r="DB110" s="721"/>
      <c r="DC110" s="721"/>
      <c r="DD110" s="721"/>
      <c r="DE110" s="721"/>
      <c r="DF110" s="721"/>
      <c r="DG110" s="721"/>
      <c r="DH110" s="721"/>
      <c r="DI110" s="721"/>
      <c r="DJ110" s="721"/>
      <c r="DK110" s="721"/>
      <c r="DL110" s="206"/>
      <c r="DM110" s="41">
        <v>498.224150040518</v>
      </c>
      <c r="DN110" s="41">
        <v>345.547773096901</v>
      </c>
      <c r="DO110" s="41">
        <v>1000.66096941195</v>
      </c>
      <c r="DP110" s="41">
        <v>1268.04784112762</v>
      </c>
      <c r="DQ110" s="41">
        <v>2019.32296252995</v>
      </c>
      <c r="DR110" s="41">
        <v>1612.49392686664</v>
      </c>
      <c r="DS110" s="41">
        <v>1609.11172583873</v>
      </c>
      <c r="DT110" s="41">
        <v>1717.12183993775</v>
      </c>
      <c r="DU110" s="41">
        <v>1677.32682276357</v>
      </c>
      <c r="DV110" s="41">
        <v>2083.17529921628</v>
      </c>
      <c r="DW110" s="41">
        <v>2697.79793536658</v>
      </c>
      <c r="DX110" s="41">
        <v>2752.9415049376</v>
      </c>
      <c r="DY110" s="721" t="e">
        <v>#DIV/0!</v>
      </c>
      <c r="DZ110" s="41">
        <f t="shared" si="261"/>
        <v>19281.7727511341</v>
      </c>
      <c r="EA110" s="36">
        <f t="shared" si="262"/>
        <v>-0.0477844361021413</v>
      </c>
      <c r="EB110" s="36"/>
      <c r="EC110" s="737">
        <f t="shared" ref="EC110:EN110" si="265">EC111+EC112</f>
        <v>672.746587263292</v>
      </c>
      <c r="ED110" s="737">
        <f t="shared" si="265"/>
        <v>330.325093373469</v>
      </c>
      <c r="EE110" s="737">
        <f t="shared" si="265"/>
        <v>980.289972048936</v>
      </c>
      <c r="EF110" s="737">
        <f t="shared" si="265"/>
        <v>1471.97934514692</v>
      </c>
      <c r="EG110" s="737">
        <f t="shared" si="265"/>
        <v>2231.55733073601</v>
      </c>
      <c r="EH110" s="737">
        <f t="shared" si="265"/>
        <v>1965.99159115589</v>
      </c>
      <c r="EI110" s="737">
        <f t="shared" si="265"/>
        <v>1691.39654243938</v>
      </c>
      <c r="EJ110" s="737">
        <f t="shared" si="265"/>
        <v>1860.20515050465</v>
      </c>
      <c r="EK110" s="737">
        <f t="shared" si="265"/>
        <v>1707.52217933697</v>
      </c>
      <c r="EL110" s="737">
        <f t="shared" si="265"/>
        <v>1929.70670733565</v>
      </c>
      <c r="EM110" s="50">
        <f t="shared" si="265"/>
        <v>2764.66166400184</v>
      </c>
      <c r="EN110" s="50">
        <f t="shared" si="265"/>
        <v>2642.99568992887</v>
      </c>
      <c r="EO110" s="724">
        <f t="shared" si="263"/>
        <v>20249.3778532719</v>
      </c>
      <c r="EP110" s="36"/>
      <c r="EQ110" s="738"/>
    </row>
    <row r="111" s="206" customFormat="1" ht="27" customHeight="1" spans="1:147">
      <c r="A111" s="45"/>
      <c r="B111" s="707" t="s">
        <v>92</v>
      </c>
      <c r="C111" s="35">
        <v>118.8431</v>
      </c>
      <c r="D111" s="36">
        <f t="shared" si="208"/>
        <v>-0.870622097265172</v>
      </c>
      <c r="E111" s="35">
        <v>0</v>
      </c>
      <c r="F111" s="36">
        <f t="shared" si="209"/>
        <v>-1</v>
      </c>
      <c r="G111" s="35">
        <v>303.0995</v>
      </c>
      <c r="H111" s="36">
        <f t="shared" si="210"/>
        <v>-0.710236488905557</v>
      </c>
      <c r="I111" s="35">
        <v>640.8637</v>
      </c>
      <c r="J111" s="36">
        <f t="shared" si="211"/>
        <v>-0.334662250071531</v>
      </c>
      <c r="K111" s="35">
        <v>500.8884</v>
      </c>
      <c r="L111" s="36">
        <f t="shared" si="212"/>
        <v>-0.463194134244656</v>
      </c>
      <c r="M111" s="35">
        <v>274.1621</v>
      </c>
      <c r="N111" s="36">
        <f t="shared" si="213"/>
        <v>-0.754247701288827</v>
      </c>
      <c r="O111" s="35">
        <v>261.3211</v>
      </c>
      <c r="P111" s="36">
        <f t="shared" si="214"/>
        <v>-0.778297135394198</v>
      </c>
      <c r="Q111" s="127"/>
      <c r="R111" s="127"/>
      <c r="S111" s="35">
        <f t="shared" si="215"/>
        <v>2099.1779</v>
      </c>
      <c r="T111" s="36">
        <f t="shared" si="216"/>
        <v>-0.718163301704421</v>
      </c>
      <c r="U111" s="36"/>
      <c r="V111" s="35">
        <v>918.5734</v>
      </c>
      <c r="W111" s="36">
        <f t="shared" si="217"/>
        <v>-0.40332097285532</v>
      </c>
      <c r="X111" s="35">
        <v>442.4451</v>
      </c>
      <c r="Y111" s="36">
        <f t="shared" si="218"/>
        <v>-0.621724626499695</v>
      </c>
      <c r="Z111" s="35">
        <v>1046.0237</v>
      </c>
      <c r="AA111" s="36">
        <f t="shared" si="219"/>
        <v>-0.547198429515414</v>
      </c>
      <c r="AB111" s="35">
        <v>963.2156</v>
      </c>
      <c r="AC111" s="36">
        <f t="shared" si="220"/>
        <v>0.480273508066914</v>
      </c>
      <c r="AD111" s="35">
        <v>933.0904</v>
      </c>
      <c r="AE111" s="36">
        <f t="shared" si="221"/>
        <v>0.638845121307577</v>
      </c>
      <c r="AF111" s="35">
        <v>1115.6034</v>
      </c>
      <c r="AG111" s="36">
        <f t="shared" si="222"/>
        <v>0.1739849680712</v>
      </c>
      <c r="AH111" s="35">
        <v>1178.6997</v>
      </c>
      <c r="AI111" s="36">
        <f t="shared" si="223"/>
        <v>0.110089298781642</v>
      </c>
      <c r="AJ111" s="35">
        <v>850.5551</v>
      </c>
      <c r="AK111" s="36">
        <f t="shared" si="224"/>
        <v>-0.455736659901089</v>
      </c>
      <c r="AL111" s="35">
        <v>1029.3115</v>
      </c>
      <c r="AM111" s="36">
        <f t="shared" si="225"/>
        <v>-0.546781765992034</v>
      </c>
      <c r="AN111" s="35">
        <v>468.2503</v>
      </c>
      <c r="AO111" s="36">
        <f t="shared" si="226"/>
        <v>-0.810975675723681</v>
      </c>
      <c r="AP111" s="35">
        <v>872.3466</v>
      </c>
      <c r="AQ111" s="36">
        <f t="shared" si="227"/>
        <v>-0.674770257015451</v>
      </c>
      <c r="AR111" s="35">
        <v>664.7776</v>
      </c>
      <c r="AS111" s="36">
        <f t="shared" si="228"/>
        <v>0.655873567501539</v>
      </c>
      <c r="AT111" s="35">
        <f t="shared" si="229"/>
        <v>10482.8924</v>
      </c>
      <c r="AU111" s="36">
        <f t="shared" si="230"/>
        <v>-0.405939035141359</v>
      </c>
      <c r="AV111" s="36"/>
      <c r="AW111" s="35">
        <f t="shared" si="231"/>
        <v>17244.6895</v>
      </c>
      <c r="AX111" s="35">
        <v>1539.4766</v>
      </c>
      <c r="AY111" s="36">
        <f t="shared" si="232"/>
        <v>0.413096718876313</v>
      </c>
      <c r="AZ111" s="35">
        <v>1169.6376</v>
      </c>
      <c r="BA111" s="36">
        <f t="shared" si="233"/>
        <v>-0.0227360305709359</v>
      </c>
      <c r="BB111" s="35">
        <v>2310.115</v>
      </c>
      <c r="BC111" s="36">
        <f t="shared" si="234"/>
        <v>0.120901610310927</v>
      </c>
      <c r="BD111" s="35">
        <v>650.7011</v>
      </c>
      <c r="BE111" s="36">
        <f t="shared" si="235"/>
        <v>-0.614928840958483</v>
      </c>
      <c r="BF111" s="35">
        <v>569.3585</v>
      </c>
      <c r="BG111" s="36">
        <f t="shared" si="236"/>
        <v>0.122374774335762</v>
      </c>
      <c r="BH111" s="35">
        <v>950.2706</v>
      </c>
      <c r="BI111" s="36">
        <f t="shared" si="237"/>
        <v>1.51448752666582</v>
      </c>
      <c r="BJ111" s="35">
        <v>1061.8062</v>
      </c>
      <c r="BK111" s="36">
        <f t="shared" si="238"/>
        <v>-0.525835093392704</v>
      </c>
      <c r="BL111" s="35">
        <v>1562.7639</v>
      </c>
      <c r="BM111" s="36">
        <f t="shared" si="239"/>
        <v>-0.592236124846991</v>
      </c>
      <c r="BN111" s="35">
        <v>2271.1167</v>
      </c>
      <c r="BO111" s="36">
        <f t="shared" si="240"/>
        <v>0.248543619294137</v>
      </c>
      <c r="BP111" s="35">
        <v>2477.196</v>
      </c>
      <c r="BQ111" s="36">
        <f t="shared" si="241"/>
        <v>0.537747853763742</v>
      </c>
      <c r="BR111" s="35">
        <v>2682.2473</v>
      </c>
      <c r="BS111" s="36">
        <f>BR111/CS111-1</f>
        <v>0.577648963356099</v>
      </c>
      <c r="BT111" s="35">
        <v>401.4664</v>
      </c>
      <c r="BU111" s="36">
        <f t="shared" si="242"/>
        <v>-0.754964056352608</v>
      </c>
      <c r="BV111" s="35">
        <f t="shared" si="243"/>
        <v>17646.1559</v>
      </c>
      <c r="BW111" s="36">
        <f t="shared" si="244"/>
        <v>-0.107092341932237</v>
      </c>
      <c r="BX111" s="36"/>
      <c r="BY111" s="50">
        <v>1089.4347</v>
      </c>
      <c r="BZ111" s="721">
        <f t="shared" si="245"/>
        <v>4.72075126709502</v>
      </c>
      <c r="CA111" s="50">
        <v>1196.8492</v>
      </c>
      <c r="CB111" s="721">
        <f t="shared" si="246"/>
        <v>12.6711987965088</v>
      </c>
      <c r="CC111" s="41">
        <v>2060.9436</v>
      </c>
      <c r="CD111" s="721">
        <f t="shared" si="247"/>
        <v>29.7445669686012</v>
      </c>
      <c r="CE111" s="41">
        <v>1689.8204</v>
      </c>
      <c r="CF111" s="721">
        <f t="shared" si="248"/>
        <v>6.65252052814344</v>
      </c>
      <c r="CG111" s="41">
        <v>507.2802</v>
      </c>
      <c r="CH111" s="721">
        <f t="shared" si="249"/>
        <v>0.566844607611029</v>
      </c>
      <c r="CI111" s="702">
        <v>377.9182</v>
      </c>
      <c r="CJ111" s="721">
        <f t="shared" si="250"/>
        <v>0.0109468041281238</v>
      </c>
      <c r="CK111" s="702">
        <v>2239.3184</v>
      </c>
      <c r="CL111" s="721">
        <f t="shared" si="251"/>
        <v>4.90116441168301</v>
      </c>
      <c r="CM111" s="41">
        <v>3832.5217</v>
      </c>
      <c r="CN111" s="721">
        <f t="shared" si="252"/>
        <v>21.0488212505135</v>
      </c>
      <c r="CO111" s="702">
        <v>1819.0127</v>
      </c>
      <c r="CP111" s="721">
        <f t="shared" si="253"/>
        <v>3.07521713989861</v>
      </c>
      <c r="CQ111" s="702">
        <v>1610.9247</v>
      </c>
      <c r="CR111" s="721">
        <f t="shared" si="254"/>
        <v>3.0469282228281</v>
      </c>
      <c r="CS111" s="50">
        <v>1700.1547</v>
      </c>
      <c r="CT111" s="721">
        <f t="shared" si="255"/>
        <v>4.22402161441994</v>
      </c>
      <c r="CU111" s="50">
        <v>1638.398</v>
      </c>
      <c r="CV111" s="721">
        <f t="shared" si="256"/>
        <v>4.03426339086813</v>
      </c>
      <c r="CW111" s="41">
        <f t="shared" si="257"/>
        <v>19762.5765</v>
      </c>
      <c r="CX111" s="721">
        <f t="shared" si="258"/>
        <v>4.57488231930907</v>
      </c>
      <c r="CY111" s="721"/>
      <c r="CZ111" s="721">
        <f t="shared" si="259"/>
        <v>-0.0363241650892122</v>
      </c>
      <c r="DA111" s="721">
        <f t="shared" si="260"/>
        <v>0.055390546808302</v>
      </c>
      <c r="DB111" s="721"/>
      <c r="DC111" s="721"/>
      <c r="DD111" s="721"/>
      <c r="DE111" s="721"/>
      <c r="DF111" s="721"/>
      <c r="DG111" s="721"/>
      <c r="DH111" s="721"/>
      <c r="DI111" s="721"/>
      <c r="DJ111" s="721"/>
      <c r="DK111" s="721"/>
      <c r="DL111" s="206"/>
      <c r="DM111" s="50">
        <v>190.4356</v>
      </c>
      <c r="DN111" s="50">
        <v>87.5453</v>
      </c>
      <c r="DO111" s="41">
        <v>67.0344</v>
      </c>
      <c r="DP111" s="41">
        <v>220.8188</v>
      </c>
      <c r="DQ111" s="41">
        <v>323.7591</v>
      </c>
      <c r="DR111" s="41">
        <v>373.826</v>
      </c>
      <c r="DS111" s="41">
        <v>379.4706</v>
      </c>
      <c r="DT111" s="41">
        <v>173.8198</v>
      </c>
      <c r="DU111" s="41">
        <v>446.3597</v>
      </c>
      <c r="DV111" s="41">
        <v>398.0611</v>
      </c>
      <c r="DW111" s="41">
        <v>558.3518</v>
      </c>
      <c r="DX111" s="41">
        <v>325.4494</v>
      </c>
      <c r="DY111" s="721" t="e">
        <v>#DIV/0!</v>
      </c>
      <c r="DZ111" s="41">
        <f t="shared" si="261"/>
        <v>3544.9316</v>
      </c>
      <c r="EA111" s="36" t="str">
        <f t="shared" si="262"/>
        <v/>
      </c>
      <c r="EB111" s="723"/>
      <c r="EC111" s="199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744"/>
      <c r="EP111" s="36"/>
      <c r="EQ111" s="740">
        <f>SUM(EC111:EN111)</f>
        <v>0</v>
      </c>
    </row>
    <row r="112" s="206" customFormat="1" ht="27" customHeight="1" spans="1:147">
      <c r="A112" s="29"/>
      <c r="B112" s="707" t="s">
        <v>93</v>
      </c>
      <c r="C112" s="50">
        <v>1868.34686681703</v>
      </c>
      <c r="D112" s="36">
        <f t="shared" si="208"/>
        <v>1.02070266780066</v>
      </c>
      <c r="E112" s="50">
        <v>1524.86655591822</v>
      </c>
      <c r="F112" s="36">
        <f t="shared" si="209"/>
        <v>0.0762309038469311</v>
      </c>
      <c r="G112" s="50">
        <v>3114.02019256471</v>
      </c>
      <c r="H112" s="36">
        <f t="shared" si="210"/>
        <v>0.416761731160938</v>
      </c>
      <c r="I112" s="50">
        <v>1724.4394822674</v>
      </c>
      <c r="J112" s="36">
        <f t="shared" si="211"/>
        <v>0.346224544143171</v>
      </c>
      <c r="K112" s="50">
        <v>867.626411125851</v>
      </c>
      <c r="L112" s="36">
        <f t="shared" si="212"/>
        <v>0.688431616152746</v>
      </c>
      <c r="M112" s="50">
        <v>980.520933534572</v>
      </c>
      <c r="N112" s="36">
        <f t="shared" si="213"/>
        <v>3.10646148958647</v>
      </c>
      <c r="O112" s="50">
        <v>2697.09468945545</v>
      </c>
      <c r="P112" s="36">
        <f t="shared" si="214"/>
        <v>0.404779494113029</v>
      </c>
      <c r="Q112" s="127"/>
      <c r="R112" s="127"/>
      <c r="S112" s="35">
        <f t="shared" si="215"/>
        <v>12776.9151316832</v>
      </c>
      <c r="T112" s="36">
        <f t="shared" si="216"/>
        <v>0.0906065520565216</v>
      </c>
      <c r="U112" s="36"/>
      <c r="V112" s="50">
        <v>924.602563548127</v>
      </c>
      <c r="W112" s="36">
        <f t="shared" si="217"/>
        <v>0.270768437866661</v>
      </c>
      <c r="X112" s="50">
        <v>1416.85817650066</v>
      </c>
      <c r="Y112" s="36">
        <f t="shared" si="218"/>
        <v>3.89811800258309</v>
      </c>
      <c r="Z112" s="50">
        <v>2197.98440632144</v>
      </c>
      <c r="AA112" s="36">
        <f t="shared" si="219"/>
        <v>1.2906718406631</v>
      </c>
      <c r="AB112" s="50">
        <v>1280.94491351363</v>
      </c>
      <c r="AC112" s="36">
        <f t="shared" si="220"/>
        <v>-0.104000613422242</v>
      </c>
      <c r="AD112" s="50">
        <v>513.865295357843</v>
      </c>
      <c r="AE112" s="36">
        <f t="shared" si="221"/>
        <v>-0.242781696476486</v>
      </c>
      <c r="AF112" s="50">
        <v>238.775144006845</v>
      </c>
      <c r="AG112" s="36">
        <f t="shared" si="222"/>
        <v>-0.163031953804122</v>
      </c>
      <c r="AH112" s="50">
        <v>1919.94167110076</v>
      </c>
      <c r="AI112" s="36">
        <f t="shared" si="223"/>
        <v>0.00670153001096097</v>
      </c>
      <c r="AJ112" s="50">
        <v>3222.4490396097</v>
      </c>
      <c r="AK112" s="36">
        <f t="shared" si="224"/>
        <v>0.161174081441915</v>
      </c>
      <c r="AL112" s="50">
        <v>1771.37055239044</v>
      </c>
      <c r="AM112" s="36">
        <f t="shared" si="225"/>
        <v>1.19979368990235</v>
      </c>
      <c r="AN112" s="50">
        <v>1800.97727328673</v>
      </c>
      <c r="AO112" s="36">
        <f t="shared" si="226"/>
        <v>2.72642842098052</v>
      </c>
      <c r="AP112" s="50">
        <v>1391.92466132221</v>
      </c>
      <c r="AQ112" s="36">
        <f t="shared" si="227"/>
        <v>8.27205470608989</v>
      </c>
      <c r="AR112" s="50">
        <v>706.172137433926</v>
      </c>
      <c r="AS112" s="36">
        <f t="shared" si="228"/>
        <v>-0.190911547030212</v>
      </c>
      <c r="AT112" s="35">
        <f t="shared" si="229"/>
        <v>17385.8658343923</v>
      </c>
      <c r="AU112" s="36">
        <f t="shared" si="230"/>
        <v>0.529945051566094</v>
      </c>
      <c r="AV112" s="36"/>
      <c r="AW112" s="35">
        <f t="shared" si="231"/>
        <v>10490.9194462688</v>
      </c>
      <c r="AX112" s="50">
        <v>727.59327033675</v>
      </c>
      <c r="AY112" s="36">
        <f t="shared" si="232"/>
        <v>0.0672683080332335</v>
      </c>
      <c r="AZ112" s="50">
        <v>289.265831438414</v>
      </c>
      <c r="BA112" s="36">
        <f t="shared" si="233"/>
        <v>-0.724382468623018</v>
      </c>
      <c r="BB112" s="50">
        <v>959.537008882586</v>
      </c>
      <c r="BC112" s="36">
        <f t="shared" si="234"/>
        <v>-0.36648052634156</v>
      </c>
      <c r="BD112" s="35">
        <v>1429.62699830204</v>
      </c>
      <c r="BE112" s="36">
        <f t="shared" si="235"/>
        <v>0.614014618876468</v>
      </c>
      <c r="BF112" s="35">
        <v>678.622390619333</v>
      </c>
      <c r="BG112" s="36">
        <f t="shared" si="236"/>
        <v>-0.145642920128318</v>
      </c>
      <c r="BH112" s="35">
        <v>285.285854211648</v>
      </c>
      <c r="BI112" s="36">
        <f t="shared" si="237"/>
        <v>-0.655017520328593</v>
      </c>
      <c r="BJ112" s="35">
        <v>1907.16077592517</v>
      </c>
      <c r="BK112" s="36">
        <f t="shared" si="238"/>
        <v>0.223029094407287</v>
      </c>
      <c r="BL112" s="35">
        <v>2775.16445734661</v>
      </c>
      <c r="BM112" s="36">
        <f t="shared" si="239"/>
        <v>0.515736688701008</v>
      </c>
      <c r="BN112" s="35">
        <v>805.243946521673</v>
      </c>
      <c r="BO112" s="36">
        <f t="shared" si="240"/>
        <v>-0.421021748919845</v>
      </c>
      <c r="BP112" s="35">
        <v>483.298501897118</v>
      </c>
      <c r="BQ112" s="36">
        <f t="shared" si="241"/>
        <v>-0.625612964030864</v>
      </c>
      <c r="BR112" s="35">
        <v>150.120410787481</v>
      </c>
      <c r="BS112" s="36">
        <f>BR112/CS112-1</f>
        <v>-0.848429768469249</v>
      </c>
      <c r="BT112" s="35">
        <v>872.79967331371</v>
      </c>
      <c r="BU112" s="36">
        <f t="shared" si="242"/>
        <v>0.123108179137222</v>
      </c>
      <c r="BV112" s="35">
        <f t="shared" si="243"/>
        <v>11363.7191195825</v>
      </c>
      <c r="BW112" s="36">
        <f t="shared" si="244"/>
        <v>-0.163967527838469</v>
      </c>
      <c r="BX112" s="36"/>
      <c r="BY112" s="41">
        <v>681.734166432396</v>
      </c>
      <c r="BZ112" s="721">
        <f t="shared" si="245"/>
        <v>1.21494323405679</v>
      </c>
      <c r="CA112" s="41">
        <v>1049.51898376437</v>
      </c>
      <c r="CB112" s="721">
        <f t="shared" si="246"/>
        <v>3.06786404473801</v>
      </c>
      <c r="CC112" s="41">
        <v>1514.6132814852</v>
      </c>
      <c r="CD112" s="721">
        <f t="shared" si="247"/>
        <v>0.622290250843214</v>
      </c>
      <c r="CE112" s="41">
        <v>885.758394987288</v>
      </c>
      <c r="CF112" s="721">
        <f t="shared" si="248"/>
        <v>-0.154188472434326</v>
      </c>
      <c r="CG112" s="41">
        <v>794.307680719702</v>
      </c>
      <c r="CH112" s="721">
        <f t="shared" si="249"/>
        <v>-0.531537738994675</v>
      </c>
      <c r="CI112" s="41">
        <v>826.957515301589</v>
      </c>
      <c r="CJ112" s="721">
        <f t="shared" si="250"/>
        <v>-0.332381587215649</v>
      </c>
      <c r="CK112" s="702">
        <v>1559.37482161815</v>
      </c>
      <c r="CL112" s="721">
        <f t="shared" si="251"/>
        <v>0.268154414203177</v>
      </c>
      <c r="CM112" s="41">
        <v>1830.90142109375</v>
      </c>
      <c r="CN112" s="721">
        <f t="shared" si="252"/>
        <v>0.186353269621545</v>
      </c>
      <c r="CO112" s="41">
        <v>1390.80171840547</v>
      </c>
      <c r="CP112" s="721">
        <f t="shared" si="253"/>
        <v>0.129844731582323</v>
      </c>
      <c r="CQ112" s="41">
        <v>1290.90608238091</v>
      </c>
      <c r="CR112" s="721">
        <f t="shared" si="254"/>
        <v>-0.233935549898464</v>
      </c>
      <c r="CS112" s="41">
        <v>990.434660364193</v>
      </c>
      <c r="CT112" s="721">
        <f t="shared" si="255"/>
        <v>-0.591992633735197</v>
      </c>
      <c r="CU112" s="41">
        <v>777.128765978892</v>
      </c>
      <c r="CV112" s="721">
        <f t="shared" si="256"/>
        <v>-0.67986352482952</v>
      </c>
      <c r="CW112" s="41">
        <f t="shared" si="257"/>
        <v>13592.4374925319</v>
      </c>
      <c r="CX112" s="721">
        <f t="shared" si="258"/>
        <v>-0.136266461484085</v>
      </c>
      <c r="CY112" s="721"/>
      <c r="CZ112" s="721">
        <f t="shared" si="259"/>
        <v>-0.215365942773919</v>
      </c>
      <c r="DA112" s="721">
        <f t="shared" si="260"/>
        <v>-0.23276009472551</v>
      </c>
      <c r="DB112" s="721"/>
      <c r="DC112" s="721"/>
      <c r="DD112" s="721"/>
      <c r="DE112" s="721"/>
      <c r="DF112" s="721"/>
      <c r="DG112" s="721"/>
      <c r="DH112" s="721"/>
      <c r="DI112" s="721"/>
      <c r="DJ112" s="721"/>
      <c r="DK112" s="721"/>
      <c r="DL112" s="21"/>
      <c r="DM112" s="727">
        <v>307.788550040518</v>
      </c>
      <c r="DN112" s="727">
        <v>258.002473096901</v>
      </c>
      <c r="DO112" s="727">
        <v>933.626569411949</v>
      </c>
      <c r="DP112" s="727">
        <v>1047.22904112762</v>
      </c>
      <c r="DQ112" s="727">
        <v>1695.56386252995</v>
      </c>
      <c r="DR112" s="727">
        <v>1238.66792686664</v>
      </c>
      <c r="DS112" s="727">
        <v>1229.64112583873</v>
      </c>
      <c r="DT112" s="727">
        <v>1543.30203993775</v>
      </c>
      <c r="DU112" s="727">
        <v>1230.96712276357</v>
      </c>
      <c r="DV112" s="727">
        <v>1685.11419921628</v>
      </c>
      <c r="DW112" s="727">
        <v>2139.44613536658</v>
      </c>
      <c r="DX112" s="727">
        <v>2427.4921049376</v>
      </c>
      <c r="DY112" s="728" t="e">
        <v>#DIV/0!</v>
      </c>
      <c r="DZ112" s="727">
        <f t="shared" si="261"/>
        <v>15736.8411511341</v>
      </c>
      <c r="EA112" s="729">
        <f t="shared" si="262"/>
        <v>-0.222848165254058</v>
      </c>
      <c r="EB112" s="741"/>
      <c r="EC112" s="41">
        <v>672.746587263292</v>
      </c>
      <c r="ED112" s="41">
        <v>330.325093373469</v>
      </c>
      <c r="EE112" s="41">
        <v>980.289972048936</v>
      </c>
      <c r="EF112" s="41">
        <v>1471.97934514692</v>
      </c>
      <c r="EG112" s="41">
        <v>2231.55733073601</v>
      </c>
      <c r="EH112" s="41">
        <v>1965.99159115589</v>
      </c>
      <c r="EI112" s="41">
        <v>1691.39654243938</v>
      </c>
      <c r="EJ112" s="41">
        <v>1860.20515050465</v>
      </c>
      <c r="EK112" s="35">
        <v>1707.52217933697</v>
      </c>
      <c r="EL112" s="35">
        <v>1929.70670733565</v>
      </c>
      <c r="EM112" s="35">
        <v>2764.66166400184</v>
      </c>
      <c r="EN112" s="35">
        <v>2642.99568992887</v>
      </c>
      <c r="EO112" s="744">
        <f t="shared" si="263"/>
        <v>20249.3778532719</v>
      </c>
      <c r="EP112" s="749"/>
      <c r="EQ112" s="740">
        <f>SUM(EC112:EN112)</f>
        <v>20249.3778532719</v>
      </c>
    </row>
    <row r="113" s="206" customFormat="1" spans="3:146">
      <c r="C113" s="231"/>
      <c r="E113" s="231"/>
      <c r="G113" s="231"/>
      <c r="I113" s="231"/>
      <c r="K113" s="231"/>
      <c r="M113" s="231"/>
      <c r="O113" s="231"/>
      <c r="Q113" s="231"/>
      <c r="R113" s="231"/>
      <c r="T113" s="151"/>
      <c r="V113" s="231"/>
      <c r="AH113" s="127"/>
      <c r="AJ113" s="231"/>
      <c r="AL113" s="231"/>
      <c r="AN113" s="231"/>
      <c r="AP113" s="231"/>
      <c r="AR113" s="231"/>
      <c r="AT113" s="127"/>
      <c r="AV113" s="733"/>
      <c r="BF113" s="127"/>
      <c r="BH113" s="231"/>
      <c r="BJ113" s="231"/>
      <c r="BL113" s="231"/>
      <c r="BM113" s="151"/>
      <c r="BN113" s="231"/>
      <c r="BO113" s="230"/>
      <c r="BP113" s="231"/>
      <c r="BQ113" s="230"/>
      <c r="BR113" s="750"/>
      <c r="BS113" s="230"/>
      <c r="BT113" s="750"/>
      <c r="BU113" s="230"/>
      <c r="CE113" s="127"/>
      <c r="CG113" s="751"/>
      <c r="CI113" s="750"/>
      <c r="CK113" s="750"/>
      <c r="CM113" s="231"/>
      <c r="CO113" s="231"/>
      <c r="CQ113" s="231"/>
      <c r="CS113" s="752"/>
      <c r="CU113" s="752"/>
      <c r="DP113" s="127"/>
      <c r="DR113" s="231"/>
      <c r="DX113" s="127"/>
      <c r="DZ113" s="738"/>
      <c r="EA113" s="151"/>
      <c r="EB113" s="151"/>
      <c r="EC113" s="738"/>
      <c r="ED113" s="738"/>
      <c r="EE113" s="753"/>
      <c r="EF113" s="738"/>
      <c r="EG113" s="738"/>
      <c r="EH113" s="738"/>
      <c r="EI113" s="738"/>
      <c r="EJ113" s="738"/>
      <c r="EK113" s="738"/>
      <c r="EL113" s="738"/>
      <c r="EM113" s="738"/>
      <c r="EN113" s="127"/>
      <c r="EP113" s="230"/>
    </row>
    <row r="114" spans="3:146">
      <c r="AT114" s="127"/>
      <c r="AV114" s="230"/>
      <c r="DS114" s="127"/>
      <c r="DT114" s="127"/>
      <c r="DU114" s="754">
        <f>DU112+DU106+DU100+DU94+DU88+DU82+DU76+DU58+DU70+DU52+DU46+DU40+DU34+DU64+DU28+DU22+DU16</f>
        <v>1779234.6142</v>
      </c>
      <c r="DV114" s="754">
        <f>DV112+DV106+DV100+DV94+DV88+DV82+DV76+DV58+DV70+DV52+DV46+DV40+DV34+DV64+DV28+DV22+DV16</f>
        <v>1756712.8875</v>
      </c>
      <c r="DW114" s="754">
        <f>DW112+DW106+DW100+DW94+DW88+DW82+DW76+DW58+DW70+DW52+DW46+DW40+DW34+DW64+DW28+DW22+DW16</f>
        <v>1781238.283</v>
      </c>
      <c r="DX114" s="754">
        <f>DX112+DX106+DX100+DX94+DX88+DX82+DX76+DX58+DX70+DX52+DX46+DX40+DX34+DX64+DX28+DX22+DX16</f>
        <v>1804134.67</v>
      </c>
    </row>
    <row r="115" spans="3:146">
      <c r="C115" s="754">
        <f>C8-C15-C21-C27-C33-C39-C45-C51-C57-C63-C69-C75-C81-C87-C93-C99-C105-C111</f>
        <v>-8.18118905954179e-11</v>
      </c>
      <c r="E115" s="754">
        <f>E8-E15-E21-E27-E33-E39-E45-E51-E57-E63-E69-E75-E81-E87-E93-E99-E105-E111</f>
        <v>7.00310920365155e-11</v>
      </c>
      <c r="G115" s="754">
        <f>G8-G15-G21-G27-G33-G39-G45-G51-G57-G63-G69-G75-G81-G87-G93-G99-G105-G111</f>
        <v>-1.79056769411545e-11</v>
      </c>
      <c r="I115" s="754">
        <f>I8-I15-I21-I27-I33-I39-I45-I51-I57-I63-I69-I75-I81-I87-I93-I99-I105-I111</f>
        <v>-6.19593265582807e-11</v>
      </c>
      <c r="K115" s="754">
        <f>K8-K15-K21-K27-K33-K39-K45-K51-K57-K63-K69-K75-K81-K87-K93-K99-K105-K111</f>
        <v>-9.93054527498316e-11</v>
      </c>
      <c r="M115" s="754">
        <f>M8-M15-M21-M27-M33-M39-M45-M51-M57-M63-M69-M75-M81-M87-M93-M99-M105-M111</f>
        <v>3.68345354218036e-11</v>
      </c>
      <c r="O115" s="754">
        <f>O8-O15-O21-O27-O33-O39-O45-O51-O57-O63-O69-O75-O81-O87-O93-O99-O105-O111</f>
        <v>8.98126018000767e-12</v>
      </c>
      <c r="Q115" s="57"/>
      <c r="R115" s="57"/>
      <c r="T115" s="151"/>
      <c r="V115" s="754">
        <f>V8-V15-V21-V27-V33-V39-V45-V51-V57-V63-V69-V75-V81-V87-V93-V99-V105-V111</f>
        <v>1.93267624126747e-11</v>
      </c>
      <c r="X115" s="754">
        <f>X8-X15-X21-X27-X33-X39-X45-X51-X57-X63-X69-X75-X81-X87-X93-X99-X105-X111</f>
        <v>-5.19548848387785e-11</v>
      </c>
      <c r="Z115" s="754">
        <f>Z8-Z15-Z21-Z27-Z33-Z39-Z45-Z51-Z57-Z63-Z69-Z75-Z81-Z87-Z93-Z99-Z105-Z111</f>
        <v>1.2801137927454e-10</v>
      </c>
      <c r="AB115" s="754">
        <f>AB8-AB15-AB21-AB27-AB33-AB39-AB45-AB51-AB57-AB63-AB69-AB75-AB81-AB87-AB93-AB99-AB105-AB111</f>
        <v>-3.86535248253495e-11</v>
      </c>
      <c r="AD115" s="754">
        <f>AD8-AD15-AD21-AD27-AD33-AD39-AD45-AD51-AD57-AD63-AD69-AD75-AD81-AD87-AD93-AD99-AD105-AD111</f>
        <v>1.50976120494306e-10</v>
      </c>
      <c r="AF115" s="754">
        <f>AF8-AF15-AF21-AF27-AF33-AF39-AF45-AF51-AF57-AF63-AF69-AF75-AF81-AF87-AF93-AF99-AF105-AF111</f>
        <v>-2.27373675443232e-11</v>
      </c>
      <c r="AH115" s="754">
        <f>AH8-AH15-AH21-AH27-AH33-AH39-AH45-AH51-AH57-AH63-AH69-AH75-AH81-AH87-AH93-AH99-AH105-AH111</f>
        <v>-1.47110768011771e-10</v>
      </c>
      <c r="AJ115" s="754">
        <f>AJ8-AJ15-AJ21-AJ27-AJ33-AJ39-AJ45-AJ51-AJ57-AJ63-AJ69-AJ75-AJ81-AJ87-AJ93-AJ99-AJ105-AJ111</f>
        <v>5.13864506501704e-11</v>
      </c>
      <c r="AL115" s="754">
        <f>AL8-AL15-AL21-AL27-AL33-AL39-AL45-AL51-AL57-AL63-AL69-AL75-AL81-AL87-AL93-AL99-AL105-AL111</f>
        <v>-2.04636307898909e-12</v>
      </c>
      <c r="AN115" s="754">
        <f>AN8-AN15-AN21-AN27-AN33-AN39-AN45-AN51-AN57-AN63-AN69-AN75-AN81-AN87-AN93-AN99-AN105-AN111</f>
        <v>5.70139491173904e-11</v>
      </c>
      <c r="AP115" s="754">
        <f>AP8-AP15-AP21-AP27-AP33-AP39-AP45-AP51-AP57-AP63-AP69-AP75-AP81-AP87-AP93-AP99-AP105-AP111</f>
        <v>1.36765265779104e-10</v>
      </c>
      <c r="AR115" s="754">
        <f>AR8-AR15-AR21-AR27-AR33-AR39-AR45-AR51-AR57-AR63-AR69-AR75-AR81-AR87-AR93-AR99-AR105-AR111</f>
        <v>1.70189196069259e-10</v>
      </c>
      <c r="AX115" s="127"/>
      <c r="AZ115" s="754">
        <f>AZ8-AZ15-AZ21-AZ27-AZ33-AZ39-AZ45-AZ51-AZ57-AZ63-AZ69-AZ75-AZ81-AZ87-AZ93-AZ99-AZ105-AZ111</f>
        <v>2.72848410531878e-12</v>
      </c>
      <c r="BB115" s="754">
        <f>BB8-BB15-BB21-BB27-BB33-BB39-BB45-BB51-BB57-BB63-BB69-BB75-BB81-BB87-BB93-BB99-BB105-BB111</f>
        <v>-1.64163793670014e-10</v>
      </c>
      <c r="BD115" s="754">
        <f>BD8-BD15-BD21-BD27-BD33-BD39-BD45-BD51-BD57-BD63-BD69-BD75-BD81-BD87-BD93-BD99-BD105-BD111</f>
        <v>-1.50293999467976e-10</v>
      </c>
      <c r="BF115" s="754">
        <f>BF8-BF15-BF21-BF27-BF33-BF39-BF45-BF51-BF57-BF63-BF69-BF75-BF81-BF87-BF93-BF99-BF105-BF111</f>
        <v>-7.50333128962666e-12</v>
      </c>
      <c r="BH115" s="754">
        <f>BH8-BH15-BH21-BH27-BH33-BH39-BH45-BH51-BH57-BH63-BH69-BH75-BH81-BH87-BH93-BH99-BH105-BH111</f>
        <v>6.1277205531951e-11</v>
      </c>
      <c r="BJ115" s="754">
        <f>BJ8-BJ15-BJ21-BJ27-BJ33-BJ39-BJ45-BJ51-BJ57-BJ63-BJ69-BJ75-BJ81-BJ87-BJ93-BJ99-BJ105-BJ111</f>
        <v>-1.46428646985441e-10</v>
      </c>
      <c r="BL115" s="754">
        <f>BL8-BL15-BL21-BL27-BL33-BL39-BL45-BL51-BL57-BL63-BL69-BL75-BL81-BL87-BL93-BL99-BL105-BL111</f>
        <v>-2.91038304567337e-11</v>
      </c>
      <c r="BN115" s="754">
        <f>BN8-BN15-BN21-BN27-BN33-BN39-BN45-BN51-BN57-BN63-BN69-BN75-BN81-BN87-BN93-BN99-BN105-BN111</f>
        <v>-1.16870069177821e-10</v>
      </c>
      <c r="BP115" s="754">
        <f>BP8-BP15-BP21-BP27-BP33-BP39-BP45-BP51-BP57-BP63-BP69-BP75-BP81-BP87-BP93-BP99-BP105-BP111</f>
        <v>-4.4110493035987e-11</v>
      </c>
      <c r="BR115" s="19">
        <f>BR8-BR15-BR21-BR27-BR33-BR39-BR45-BR51-BR57-BR63-BR69-BR75-BR81-BR87-BR93-BR99-BR105-BR111</f>
        <v>8.18545231595635e-12</v>
      </c>
      <c r="BT115" s="19">
        <f>BT8-BT15-BT21-BT27-BT33-BT39-BT45-BT51-BT57-BT63-BT69-BT75-BT81-BT87-BT93-BT99-BT105-BT111</f>
        <v>1.11640474642627e-10</v>
      </c>
    </row>
    <row r="116" spans="3:146">
      <c r="C116" s="754">
        <f>C7-C12-C18-C24-C30-C36-C42-C48-C54-C60-C66-C72-C78-C84-C90-C96-C102-C108</f>
        <v>-4.18332035678759e-13</v>
      </c>
      <c r="E116" s="754">
        <f>E7-E12-E18-E24-E30-E36-E42-E48-E54-E60-E66-E72-E78-E84-E90-E96-E102-E108</f>
        <v>3.05533376376843e-13</v>
      </c>
      <c r="G116" s="754">
        <f>G7-G12-G18-G24-G30-G36-G42-G48-G54-G60-G66-G72-G78-G84-G90-G96-G102-G108</f>
        <v>-1.77635683940025e-14</v>
      </c>
      <c r="I116" s="754">
        <f>I7-I12-I18-I24-I30-I36-I42-I48-I54-I60-I66-I72-I78-I84-I90-I96-I102-I108</f>
        <v>-2.75335310107039e-13</v>
      </c>
      <c r="K116" s="754">
        <f>K7-K12-K18-K24-K30-K36-K42-K48-K54-K60-K66-K72-K78-K84-K90-K96-K102-K108</f>
        <v>2.89546164822241e-13</v>
      </c>
      <c r="M116" s="754">
        <f>M7-M12-M18-M24-M30-M36-M42-M48-M54-M60-M66-M72-M78-M84-M90-M96-M102-M108</f>
        <v>6.83897383169096e-14</v>
      </c>
      <c r="O116" s="754">
        <f>O7-O12-O18-O24-O30-O36-O42-O48-O54-O60-O66-O72-O78-O84-O90-O96-O102-O108</f>
        <v>-1.67865721323324e-13</v>
      </c>
      <c r="Q116" s="57"/>
      <c r="R116" s="57"/>
      <c r="T116" s="151"/>
      <c r="V116" s="754">
        <f>V7-V12-V18-V24-V30-V36-V42-V48-V54-V60-V66-V72-V78-V84-V90-V96-V102-V108</f>
        <v>-6.19060358530987e-13</v>
      </c>
      <c r="X116" s="754">
        <f>X7-X12-X18-X24-X30-X36-X42-X48-X54-X60-X66-X72-X78-X84-X90-X96-X102-X108</f>
        <v>3.548272786702e-13</v>
      </c>
      <c r="Z116" s="754">
        <f>Z7-Z12-Z18-Z24-Z30-Z36-Z42-Z48-Z54-Z60-Z66-Z72-Z78-Z84-Z90-Z96-Z102-Z108</f>
        <v>3.97903932025656e-13</v>
      </c>
      <c r="AB116" s="754">
        <f>AB7-AB12-AB18-AB24-AB30-AB36-AB42-AB48-AB54-AB60-AB66-AB72-AB78-AB84-AB90-AB96-AB102-AB108</f>
        <v>2.46025422256935e-13</v>
      </c>
      <c r="AD116" s="754">
        <f>AD7-AD12-AD18-AD24-AD30-AD36-AD42-AD48-AD54-AD60-AD66-AD72-AD78-AD84-AD90-AD96-AD102-AD108</f>
        <v>-1.63424829224823e-13</v>
      </c>
      <c r="AF116" s="754">
        <f>AF7-AF12-AF18-AF24-AF30-AF36-AF42-AF48-AF54-AF60-AF66-AF72-AF78-AF84-AF90-AF96-AF102-AF108</f>
        <v>1.54010137976002e-12</v>
      </c>
      <c r="AH116" s="754">
        <f>AH7-AH12-AH18-AH24-AH30-AH36-AH42-AH48-AH54-AH60-AH66-AH72-AH78-AH84-AH90-AH96-AH102-AH108</f>
        <v>-1.27897692436818e-13</v>
      </c>
      <c r="AJ116" s="754">
        <f>AJ7-AJ12-AJ18-AJ24-AJ30-AJ36-AJ42-AJ48-AJ54-AJ60-AJ66-AJ72-AJ78-AJ84-AJ90-AJ96-AJ102-AJ108</f>
        <v>1.01429975529754e-12</v>
      </c>
      <c r="AL116" s="754">
        <f>AL7-AL12-AL18-AL24-AL30-AL36-AL42-AL48-AL54-AL60-AL66-AL72-AL78-AL84-AL90-AL96-AL102-AL108</f>
        <v>7.99360577730113e-13</v>
      </c>
      <c r="AN116" s="754">
        <f>AN7-AN12-AN18-AN24-AN30-AN36-AN42-AN48-AN54-AN60-AN66-AN72-AN78-AN84-AN90-AN96-AN102-AN108</f>
        <v>7.8337336617551e-13</v>
      </c>
      <c r="AP116" s="754">
        <f>AP7-AP12-AP18-AP24-AP30-AP36-AP42-AP48-AP54-AP60-AP66-AP72-AP78-AP84-AP90-AP96-AP102-AP108</f>
        <v>1.72306613421824e-13</v>
      </c>
      <c r="AR116" s="754">
        <f>AR7-AR12-AR18-AR24-AR30-AR36-AR42-AR48-AR54-AR60-AR66-AR72-AR78-AR84-AR90-AR96-AR102-AR108</f>
        <v>5.95079541199084e-14</v>
      </c>
      <c r="AX116" s="127"/>
      <c r="AZ116" s="754">
        <f>AZ7-AZ12-AZ18-AZ24-AZ30-AZ36-AZ42-AZ48-AZ54-AZ60-AZ66-AZ72-AZ78-AZ84-AZ90-AZ96-AZ102-AZ108</f>
        <v>4.65405491922866e-13</v>
      </c>
      <c r="BB116" s="754">
        <f>BB7-BB12-BB18-BB24-BB30-BB36-BB42-BB48-BB54-BB60-BB66-BB72-BB78-BB84-BB90-BB96-BB102-BB108</f>
        <v>6.60804744256893e-13</v>
      </c>
      <c r="BD116" s="754">
        <f>BD7-BD12-BD18-BD24-BD30-BD36-BD42-BD48-BD54-BD60-BD66-BD72-BD78-BD84-BD90-BD96-BD102-BD108</f>
        <v>1.33226762955019e-13</v>
      </c>
      <c r="BF116" s="754">
        <f>BF7-BF12-BF18-BF24-BF30-BF36-BF42-BF48-BF54-BF60-BF66-BF72-BF78-BF84-BF90-BF96-BF102-BF108</f>
        <v>-5.18696197104873e-13</v>
      </c>
      <c r="BH116" s="754">
        <f>BH7-BH12-BH18-BH24-BH30-BH36-BH42-BH48-BH54-BH60-BH66-BH72-BH78-BH84-BH90-BH96-BH102-BH108</f>
        <v>-8.4909856923332e-13</v>
      </c>
      <c r="BJ116" s="754">
        <f>BJ7-BJ12-BJ18-BJ24-BJ30-BJ36-BJ42-BJ48-BJ54-BJ60-BJ66-BJ72-BJ78-BJ84-BJ90-BJ96-BJ102-BJ108</f>
        <v>-4.84945417156268e-13</v>
      </c>
      <c r="BL116" s="754">
        <f>BL7-BL12-BL18-BL24-BL30-BL36-BL42-BL48-BL54-BL60-BL66-BL72-BL78-BL84-BL90-BL96-BL102-BL108</f>
        <v>-5.40012479177676e-13</v>
      </c>
      <c r="BN116" s="754">
        <f>BN7-BN12-BN18-BN24-BN30-BN36-BN42-BN48-BN54-BN60-BN66-BN72-BN78-BN84-BN90-BN96-BN102-BN108</f>
        <v>0</v>
      </c>
      <c r="BP116" s="754">
        <f>BP7-BP12-BP18-BP24-BP30-BP36-BP42-BP48-BP54-BP60-BP66-BP72-BP78-BP84-BP90-BP96-BP102-BP108</f>
        <v>-1.01785246897634e-12</v>
      </c>
      <c r="BR116" s="19">
        <f>BR7-BR12-BR18-BR24-BR30-BR36-BR42-BR48-BR54-BR60-BR66-BR72-BR78-BR84-BR90-BR96-BR102-BR108</f>
        <v>4.47641923528863e-13</v>
      </c>
      <c r="BT116" s="19">
        <f>BT7-BT12-BT18-BT24-BT30-BT36-BT42-BT48-BT54-BT60-BT66-BT72-BT78-BT84-BT90-BT96-BT102-BT108</f>
        <v>-4.19220214098459e-13</v>
      </c>
    </row>
    <row r="117" spans="3:146">
      <c r="C117" s="754">
        <f>C10-C16-C22-C28-C34-C40-C46-C52-C58-C64-C70-C76-C82-C88-C94-C100-C106-C112</f>
        <v>9.36552169150673e-10</v>
      </c>
      <c r="E117" s="754">
        <f>E10-E16-E22-E28-E34-E40-E46-E52-E58-E64-E70-E76-E82-E88-E94-E100-E106-E112</f>
        <v>-6.23003870714456e-10</v>
      </c>
      <c r="G117" s="754">
        <f>G10-G16-G22-G28-G34-G40-G46-G52-G58-G64-G70-G76-G82-G88-G94-G100-G106-G112</f>
        <v>2.20552465179935e-10</v>
      </c>
      <c r="I117" s="754">
        <f>I10-I16-I22-I28-I34-I40-I46-I52-I58-I64-I70-I76-I82-I88-I94-I100-I106-I112</f>
        <v>-3.12638803734444e-10</v>
      </c>
      <c r="K117" s="754">
        <f>K10-K16-K22-K28-K34-K40-K46-K52-K58-K64-K70-K76-K82-K88-K94-K100-K106-K112</f>
        <v>1.52888266029549e-5</v>
      </c>
      <c r="M117" s="754">
        <f>M10-M16-M22-M28-M34-M40-M46-M52-M58-M64-M70-M76-M82-M88-M94-M100-M106-M112</f>
        <v>-2.91379365080502e-10</v>
      </c>
      <c r="O117" s="754">
        <f>O10-O16-O22-O28-O34-O40-O46-O52-O58-O64-O70-O76-O82-O88-O94-O100-O106-O112</f>
        <v>1.23418431030586e-9</v>
      </c>
      <c r="Q117" s="57"/>
      <c r="R117" s="57"/>
      <c r="T117" s="151"/>
      <c r="V117" s="754">
        <f>V10-V16-V22-V28-V34-V40-V46-V52-V58-V64-V70-V76-V82-V88-V94-V100-V106-V112</f>
        <v>-2.97973201668356e-10</v>
      </c>
      <c r="X117" s="754">
        <f>X10-X16-X22-X28-X34-X40-X46-X52-X58-X64-X70-X76-X82-X88-X94-X100-X106-X112</f>
        <v>2.62161847786047e-10</v>
      </c>
      <c r="Z117" s="754">
        <f>Z10-Z16-Z22-Z28-Z34-Z40-Z46-Z52-Z58-Z64-Z70-Z76-Z82-Z88-Z94-Z100-Z106-Z112</f>
        <v>3.49700712831691e-10</v>
      </c>
      <c r="AB117" s="754">
        <f>AB10-AB16-AB22-AB28-AB34-AB40-AB46-AB52-AB58-AB64-AB70-AB76-AB82-AB88-AB94-AB100-AB106-AB112</f>
        <v>5.35919753019698e-10</v>
      </c>
      <c r="AD117" s="754">
        <f>AD10-AD16-AD22-AD28-AD34-AD40-AD46-AD52-AD58-AD64-AD70-AD76-AD82-AD88-AD94-AD100-AD106-AD112</f>
        <v>3.54702933691442e-11</v>
      </c>
      <c r="AF117" s="754">
        <f>AF10-AF16-AF22-AF28-AF34-AF40-AF46-AF52-AF58-AF64-AF70-AF76-AF82-AF88-AF94-AF100-AF106-AF112</f>
        <v>3.73177044821205e-11</v>
      </c>
      <c r="AH117" s="754">
        <f>AH10-AH16-AH22-AH28-AH34-AH40-AH46-AH52-AH58-AH64-AH70-AH76-AH82-AH88-AH94-AH100-AH106-AH112</f>
        <v>4.67252903035842e-10</v>
      </c>
      <c r="AJ117" s="754">
        <f>AJ10-AJ16-AJ22-AJ28-AJ34-AJ40-AJ46-AJ52-AJ58-AJ64-AJ70-AJ76-AJ82-AJ88-AJ94-AJ100-AJ106-AJ112</f>
        <v>-6.92125468049198e-10</v>
      </c>
      <c r="AL117" s="754">
        <f>AL10-AL16-AL22-AL28-AL34-AL40-AL46-AL52-AL58-AL64-AL70-AL76-AL82-AL88-AL94-AL100-AL106-AL112</f>
        <v>7.2668626671657e-10</v>
      </c>
      <c r="AN117" s="754">
        <f>AN10-AN16-AN22-AN28-AN34-AN40-AN46-AN52-AN58-AN64-AN70-AN76-AN82-AN88-AN94-AN100-AN106-AN112</f>
        <v>1.21417542686686e-10</v>
      </c>
      <c r="AP117" s="754">
        <f>AP10-AP16-AP22-AP28-AP34-AP40-AP46-AP52-AP58-AP64-AP70-AP76-AP82-AP88-AP94-AP100-AP106-AP112</f>
        <v>-2.69892552751116e-10</v>
      </c>
      <c r="AR117" s="754">
        <f>AR10-AR16-AR22-AR28-AR34-AR40-AR46-AR52-AR58-AR64-AR70-AR76-AR82-AR88-AR94-AR100-AR106-AR112</f>
        <v>-3.06613401335198e-10</v>
      </c>
      <c r="AX117" s="127"/>
      <c r="AZ117" s="754">
        <f>AZ10-AZ16-AZ22-AZ28-AZ34-AZ40-AZ46-AZ52-AZ58-AZ64-AZ70-AZ76-AZ82-AZ88-AZ94-AZ100-AZ106-AZ112</f>
        <v>-2.2794210963184e-10</v>
      </c>
      <c r="BB117" s="754">
        <f>BB10-BB16-BB22-BB28-BB34-BB40-BB46-BB52-BB58-BB64-BB70-BB76-BB82-BB88-BB94-BB100-BB106-BB112</f>
        <v>-1.83945303433575e-10</v>
      </c>
      <c r="BD117" s="754">
        <f>BD10-BD16-BD22-BD28-BD34-BD40-BD46-BD52-BD58-BD64-BD70-BD76-BD82-BD88-BD94-BD100-BD106-BD112</f>
        <v>7.57154339225963e-11</v>
      </c>
      <c r="BF117" s="754">
        <f>BF10-BF16-BF22-BF28-BF34-BF40-BF46-BF52-BF58-BF64-BF70-BF76-BF82-BF88-BF94-BF100-BF106-BF112</f>
        <v>-2.75917955150362e-10</v>
      </c>
      <c r="BH117" s="754">
        <f>BH10-BH16-BH22-BH28-BH34-BH40-BH46-BH52-BH58-BH64-BH70-BH76-BH82-BH88-BH94-BH100-BH106-BH112</f>
        <v>3.66640051652212e-11</v>
      </c>
      <c r="BJ117" s="754">
        <f>BJ10-BJ16-BJ22-BJ28-BJ34-BJ40-BJ46-BJ52-BJ58-BJ64-BJ70-BJ76-BJ82-BJ88-BJ94-BJ100-BJ106-BJ112</f>
        <v>2.37605490838178e-10</v>
      </c>
      <c r="BL117" s="754">
        <f>BL10-BL16-BL22-BL28-BL34-BL40-BL46-BL52-BL58-BL64-BL70-BL76-BL82-BL88-BL94-BL100-BL106-BL112</f>
        <v>-4.32009983342141e-10</v>
      </c>
      <c r="BN117" s="754">
        <f>BN10-BN16-BN22-BN28-BN34-BN40-BN46-BN52-BN58-BN64-BN70-BN76-BN82-BN88-BN94-BN100-BN106-BN112</f>
        <v>1.71894498635083e-10</v>
      </c>
      <c r="BP117" s="754">
        <f>BP10-BP16-BP22-BP28-BP34-BP40-BP46-BP52-BP58-BP64-BP70-BP76-BP82-BP88-BP94-BP100-BP106-BP112</f>
        <v>1.21474386105547e-10</v>
      </c>
      <c r="BR117" s="19">
        <f>BR10-BR16-BR22-BR28-BR34-BR40-BR46-BR52-BR58-BR64-BR70-BR76-BR82-BR88-BR94-BR100-BR106-BR112</f>
        <v>-1.61008983923239e-10</v>
      </c>
      <c r="BT117" s="19">
        <f>BT10-BT16-BT22-BT28-BT34-BT40-BT46-BT52-BT58-BT64-BT70-BT76-BT82-BT88-BT94-BT100-BT106-BT112</f>
        <v>1.61662683240138e-10</v>
      </c>
      <c r="CC117" s="127"/>
      <c r="CE117" s="755"/>
      <c r="EH117" s="127"/>
      <c r="EJ117" s="754">
        <f>EJ16+EJ22+EJ28+EJ64+EJ34+EJ40+EJ46+EJ52+EJ70+EJ58+EJ76+EJ82+EJ88+EJ94+EJ100+EJ106+EJ112</f>
        <v>1737653.3134</v>
      </c>
    </row>
    <row r="118" spans="3:146">
      <c r="C118" s="754">
        <f>C6-C14-C20-C26-C32-C38-C44-C50-C56-C62-C68-C74-C80-C86-C92-C98-C104-C110</f>
        <v>8.94715412869118e-10</v>
      </c>
      <c r="E118" s="754">
        <f>E6-E14-E20-E26-E32-E38-E44-E50-E56-E62-E68-E74-E80-E86-E92-E98-E104-E110</f>
        <v>-7.1759131969884e-10</v>
      </c>
      <c r="G118" s="754">
        <f>G6-G14-G20-G26-G32-G38-G44-G50-G56-G62-G68-G74-G80-G86-G92-G98-G104-G110</f>
        <v>1.44609657581896e-10</v>
      </c>
      <c r="I118" s="754">
        <f>I6-I14-I20-I26-I32-I38-I44-I50-I56-I62-I68-I74-I80-I86-I92-I98-I104-I110</f>
        <v>-4.91127138957381e-11</v>
      </c>
      <c r="K118" s="754">
        <f>K6-K14-K20-K26-K32-K38-K44-K50-K56-K62-K68-K74-K80-K86-K92-K98-K104-K110</f>
        <v>1.52888555930986e-5</v>
      </c>
      <c r="M118" s="754">
        <f>M6-M14-M20-M26-M32-M38-M44-M50-M56-M62-M68-M74-M80-M86-M92-M98-M104-M110</f>
        <v>-2.72848410531878e-12</v>
      </c>
      <c r="O118" s="754">
        <f>O6-O14-O20-O26-O32-O38-O44-O50-O56-O62-O68-O74-O80-O86-O92-O98-O104-O110</f>
        <v>7.03948899172246e-10</v>
      </c>
      <c r="Q118" s="57"/>
      <c r="R118" s="57"/>
      <c r="T118" s="151"/>
      <c r="V118" s="754">
        <f>V6-V14-V20-V26-V32-V38-V44-V50-V56-V62-V68-V74-V80-V86-V92-V98-V104-V110</f>
        <v>-2.16914486372843e-10</v>
      </c>
      <c r="X118" s="754">
        <f>X6-X14-X20-X26-X32-X38-X44-X50-X56-X62-X68-X74-X80-X86-X92-X98-X104-X110</f>
        <v>1.13686837721616e-10</v>
      </c>
      <c r="Z118" s="754">
        <f>Z6-Z14-Z20-Z26-Z32-Z38-Z44-Z50-Z56-Z62-Z68-Z74-Z80-Z86-Z92-Z98-Z104-Z110</f>
        <v>3.03771230392158e-10</v>
      </c>
      <c r="AB118" s="754">
        <f>AB6-AB14-AB20-AB26-AB32-AB38-AB44-AB50-AB56-AB62-AB68-AB74-AB80-AB86-AB92-AB98-AB104-AB110</f>
        <v>3.39241523761302e-10</v>
      </c>
      <c r="AD118" s="754">
        <f>AD6-AD14-AD20-AD26-AD32-AD38-AD44-AD50-AD56-AD62-AD68-AD74-AD80-AD86-AD92-AD98-AD104-AD110</f>
        <v>5.82076609134674e-11</v>
      </c>
      <c r="AF118" s="754">
        <f>AF6-AF14-AF20-AF26-AF32-AF38-AF44-AF50-AF56-AF62-AF68-AF74-AF80-AF86-AF92-AF98-AF104-AF110</f>
        <v>-1.62799551617354e-10</v>
      </c>
      <c r="AH118" s="754">
        <f>AH6-AH14-AH20-AH26-AH32-AH38-AH44-AH50-AH56-AH62-AH68-AH74-AH80-AH86-AH92-AH98-AH104-AH110</f>
        <v>-1.79170456249267e-10</v>
      </c>
      <c r="AJ118" s="754">
        <f>AJ6-AJ14-AJ20-AJ26-AJ32-AJ38-AJ44-AJ50-AJ56-AJ62-AJ68-AJ74-AJ80-AJ86-AJ92-AJ98-AJ104-AJ110</f>
        <v>-1.12368070404045e-9</v>
      </c>
      <c r="AL118" s="754">
        <f>AL6-AL14-AL20-AL26-AL32-AL38-AL44-AL50-AL56-AL62-AL68-AL74-AL80-AL86-AL92-AL98-AL104-AL110</f>
        <v>9.04947228264064e-10</v>
      </c>
      <c r="AN118" s="754">
        <f>AN6-AN14-AN20-AN26-AN32-AN38-AN44-AN50-AN56-AN62-AN68-AN74-AN80-AN86-AN92-AN98-AN104-AN110</f>
        <v>2.30102159548551e-10</v>
      </c>
      <c r="AP118" s="754">
        <f>AP6-AP14-AP20-AP26-AP32-AP38-AP44-AP50-AP56-AP62-AP68-AP74-AP80-AP86-AP92-AP98-AP104-AP110</f>
        <v>2.11002770811319e-10</v>
      </c>
      <c r="AR118" s="754">
        <f>AR6-AR14-AR20-AR26-AR32-AR38-AR44-AR50-AR56-AR62-AR68-AR74-AR80-AR86-AR92-AR98-AR104-AR110</f>
        <v>-3.49018591805361e-10</v>
      </c>
      <c r="AX118" s="127"/>
      <c r="AZ118" s="754">
        <f>AZ6-AZ14-AZ20-AZ26-AZ32-AZ38-AZ44-AZ50-AZ56-AZ62-AZ68-AZ74-AZ80-AZ86-AZ92-AZ98-AZ104-AZ110</f>
        <v>5.95719029661268e-11</v>
      </c>
      <c r="BB118" s="754">
        <f>BB6-BB14-BB20-BB26-BB32-BB38-BB44-BB50-BB56-BB62-BB68-BB74-BB80-BB86-BB92-BB98-BB104-BB110</f>
        <v>-5.67524693906307e-10</v>
      </c>
      <c r="BD118" s="754">
        <f>BD6-BD14-BD20-BD26-BD32-BD38-BD44-BD50-BD56-BD62-BD68-BD74-BD80-BD86-BD92-BD98-BD104-BD110</f>
        <v>-2.27828422794119e-10</v>
      </c>
      <c r="BF118" s="754">
        <f>BF6-BF14-BF20-BF26-BF32-BF38-BF44-BF50-BF56-BF62-BF68-BF74-BF80-BF86-BF92-BF98-BF104-BF110</f>
        <v>-1.39152689371258e-10</v>
      </c>
      <c r="BH118" s="754">
        <f>BH6-BH14-BH20-BH26-BH32-BH38-BH44-BH50-BH56-BH62-BH68-BH74-BH80-BH86-BH92-BH98-BH104-BH110</f>
        <v>-3.41060513164848e-12</v>
      </c>
      <c r="BJ118" s="754">
        <f>BJ6-BJ14-BJ20-BJ26-BJ32-BJ38-BJ44-BJ50-BJ56-BJ62-BJ68-BJ74-BJ80-BJ86-BJ92-BJ98-BJ104-BJ110</f>
        <v>-1.67347025126219e-10</v>
      </c>
      <c r="BL118" s="754">
        <f>BL6-BL14-BL20-BL26-BL32-BL38-BL44-BL50-BL56-BL62-BL68-BL74-BL80-BL86-BL92-BL98-BL104-BL110</f>
        <v>-4.26553015131503e-10</v>
      </c>
      <c r="BN118" s="754">
        <f>BN6-BN14-BN20-BN26-BN32-BN38-BN44-BN50-BN56-BN62-BN68-BN74-BN80-BN86-BN92-BN98-BN104-BN110</f>
        <v>-7.73070496506989e-12</v>
      </c>
      <c r="BP118" s="754">
        <f>BP6-BP14-BP20-BP26-BP32-BP38-BP44-BP50-BP56-BP62-BP68-BP74-BP80-BP86-BP92-BP98-BP104-BP110</f>
        <v>2.48746800934896e-10</v>
      </c>
      <c r="BR118" s="19">
        <f>BR6-BR14-BR20-BR26-BR32-BR38-BR44-BR50-BR56-BR62-BR68-BR74-BR80-BR86-BR92-BR98-BR104-BR110</f>
        <v>-2.2373569663614e-10</v>
      </c>
      <c r="BT118" s="19">
        <f>BT6-BT14-BT20-BT26-BT32-BT38-BT44-BT50-BT56-BT62-BT68-BT74-BT80-BT86-BT92-BT98-BT104-BT110</f>
        <v>0</v>
      </c>
    </row>
  </sheetData>
  <autoFilter xmlns:etc="http://www.wps.cn/officeDocument/2017/etCustomData" ref="A4:EO112" etc:filterBottomFollowUsedRange="0">
    <extLst/>
  </autoFilter>
  <mergeCells count="183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1:D2"/>
    <mergeCell ref="D3:D4"/>
    <mergeCell ref="E3:E4"/>
    <mergeCell ref="F1:F2"/>
    <mergeCell ref="F3:F4"/>
    <mergeCell ref="G3:G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N1:N2"/>
    <mergeCell ref="N3:N4"/>
    <mergeCell ref="O3:O4"/>
    <mergeCell ref="P1:P2"/>
    <mergeCell ref="P3:P4"/>
    <mergeCell ref="Q3:Q4"/>
    <mergeCell ref="R3:R4"/>
    <mergeCell ref="S3:S4"/>
    <mergeCell ref="T3:T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N3:AN4"/>
    <mergeCell ref="AO1:AO2"/>
    <mergeCell ref="AO3:AO4"/>
    <mergeCell ref="AP3:AP4"/>
    <mergeCell ref="AQ1:AQ2"/>
    <mergeCell ref="AQ3:AQ4"/>
    <mergeCell ref="AR3:AR4"/>
    <mergeCell ref="AS1:AS2"/>
    <mergeCell ref="AS3:AS4"/>
    <mergeCell ref="AT3:AT4"/>
    <mergeCell ref="AU3:AU4"/>
    <mergeCell ref="AX3:AX4"/>
    <mergeCell ref="AY1:AY2"/>
    <mergeCell ref="AY3:AY4"/>
    <mergeCell ref="AZ3:AZ4"/>
    <mergeCell ref="BA1:BA2"/>
    <mergeCell ref="BA3:BA4"/>
    <mergeCell ref="BB3:BB4"/>
    <mergeCell ref="BC1:BC2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DL12:DL16"/>
    <mergeCell ref="DL18:DL22"/>
    <mergeCell ref="DL24:DL28"/>
    <mergeCell ref="DL30:DL34"/>
    <mergeCell ref="DL36:DL40"/>
    <mergeCell ref="DL42:DL46"/>
    <mergeCell ref="DL48:DL52"/>
    <mergeCell ref="DL54:DL58"/>
    <mergeCell ref="DL60:DL64"/>
    <mergeCell ref="DL66:DL70"/>
    <mergeCell ref="DL72:DL76"/>
    <mergeCell ref="DL78:DL82"/>
    <mergeCell ref="DL84:DL88"/>
    <mergeCell ref="DL90:DL94"/>
    <mergeCell ref="DL96:DL100"/>
    <mergeCell ref="DL102:DL106"/>
    <mergeCell ref="DL108:DL112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P3:EP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workbookViewId="0">
      <selection activeCell="J25" sqref="J25"/>
    </sheetView>
  </sheetViews>
  <sheetFormatPr defaultColWidth="8.88888888888889" defaultRowHeight="14.4"/>
  <cols>
    <col min="1" max="1" width="8" style="16" customWidth="1"/>
    <col min="2" max="2" width="15.7777777777778" style="16" customWidth="1"/>
    <col min="3" max="3" width="11" style="16" customWidth="1"/>
    <col min="4" max="4" width="12.2222222222222" style="16" customWidth="1"/>
    <col min="5" max="5" width="11.1111111111111" style="16" customWidth="1"/>
    <col min="6" max="6" width="6.88888888888889" style="16" customWidth="1"/>
    <col min="7" max="7" width="13.4444444444444" style="16" customWidth="1"/>
    <col min="8" max="8" width="8.22222222222222" style="16" customWidth="1"/>
    <col min="9" max="9" width="12" style="16" customWidth="1"/>
    <col min="10" max="10" width="11.1111111111111" style="16" customWidth="1"/>
    <col min="11" max="11" width="6.77777777777778" style="16" customWidth="1"/>
    <col min="12" max="12" width="16.1111111111111" style="16" customWidth="1"/>
    <col min="13" max="13" width="7.55555555555556" style="16" customWidth="1"/>
    <col min="14" max="14" width="12" style="16" customWidth="1"/>
    <col min="15" max="15" width="9.66666666666667" style="16" customWidth="1"/>
    <col min="16" max="16" width="6.55555555555556" style="16" customWidth="1"/>
    <col min="17" max="17" width="8.22222222222222" style="16" customWidth="1"/>
    <col min="18" max="18" width="7" style="16" customWidth="1"/>
    <col min="19" max="19" width="14.3333333333333" style="16" customWidth="1"/>
  </cols>
  <sheetData>
    <row r="1" ht="49" customHeight="1" spans="1:18">
      <c r="A1" s="690" t="s">
        <v>113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90"/>
    </row>
    <row r="2" s="689" customFormat="1" ht="46.95" customHeight="1" spans="1:18">
      <c r="A2" s="678" t="s">
        <v>114</v>
      </c>
      <c r="B2" s="124" t="s">
        <v>115</v>
      </c>
      <c r="C2" s="236"/>
      <c r="D2" s="139"/>
      <c r="E2" s="124" t="s">
        <v>116</v>
      </c>
      <c r="F2" s="238"/>
      <c r="G2" s="124" t="s">
        <v>117</v>
      </c>
      <c r="H2" s="236"/>
      <c r="I2" s="139"/>
      <c r="J2" s="124" t="s">
        <v>118</v>
      </c>
      <c r="K2" s="238"/>
      <c r="L2" s="124" t="s">
        <v>119</v>
      </c>
      <c r="M2" s="236"/>
      <c r="N2" s="139"/>
      <c r="O2" s="124" t="s">
        <v>120</v>
      </c>
      <c r="P2" s="238"/>
      <c r="Q2" s="124" t="s">
        <v>121</v>
      </c>
      <c r="R2" s="650"/>
    </row>
    <row r="3" s="689" customFormat="1" ht="28.8" customHeight="1" spans="1:18">
      <c r="A3" s="29"/>
      <c r="B3" s="691" t="s">
        <v>122</v>
      </c>
      <c r="C3" s="691" t="s">
        <v>123</v>
      </c>
      <c r="D3" s="691" t="s">
        <v>124</v>
      </c>
      <c r="E3" s="691" t="s">
        <v>12</v>
      </c>
      <c r="F3" s="691" t="s">
        <v>125</v>
      </c>
      <c r="G3" s="691" t="s">
        <v>122</v>
      </c>
      <c r="H3" s="691" t="s">
        <v>123</v>
      </c>
      <c r="I3" s="691" t="s">
        <v>124</v>
      </c>
      <c r="J3" s="691" t="s">
        <v>12</v>
      </c>
      <c r="K3" s="691" t="s">
        <v>126</v>
      </c>
      <c r="L3" s="691" t="s">
        <v>122</v>
      </c>
      <c r="M3" s="691" t="s">
        <v>123</v>
      </c>
      <c r="N3" s="691" t="s">
        <v>124</v>
      </c>
      <c r="O3" s="691" t="s">
        <v>12</v>
      </c>
      <c r="P3" s="691" t="s">
        <v>126</v>
      </c>
      <c r="Q3" s="679"/>
      <c r="R3" s="339"/>
    </row>
    <row r="4" s="689" customFormat="1" ht="27" customHeight="1" spans="1:18">
      <c r="A4" s="678" t="s">
        <v>80</v>
      </c>
      <c r="B4" s="692">
        <v>27734.461</v>
      </c>
      <c r="C4" s="693"/>
      <c r="D4" s="694"/>
      <c r="E4" s="694">
        <v>-0.0840162350420057</v>
      </c>
      <c r="F4" s="693"/>
      <c r="G4" s="692">
        <v>85688.6701703725</v>
      </c>
      <c r="H4" s="693"/>
      <c r="I4" s="694"/>
      <c r="J4" s="694">
        <v>0.0505018737618537</v>
      </c>
      <c r="K4" s="693"/>
      <c r="L4" s="692">
        <v>113423.131170373</v>
      </c>
      <c r="M4" s="693"/>
      <c r="N4" s="694"/>
      <c r="O4" s="694">
        <v>0.01408639446202</v>
      </c>
      <c r="P4" s="693"/>
      <c r="Q4" s="97">
        <f t="shared" ref="Q4:Q21" si="0">ROUND(B4/L4*10,1)</f>
        <v>2.4</v>
      </c>
      <c r="R4" s="97">
        <f t="shared" ref="R4:R21" si="1">10-Q4</f>
        <v>7.6</v>
      </c>
    </row>
    <row r="5" s="689" customFormat="1" ht="25.95" customHeight="1" spans="1:18">
      <c r="A5" s="90" t="s">
        <v>127</v>
      </c>
      <c r="B5" s="695">
        <v>8905.1507</v>
      </c>
      <c r="C5" s="696">
        <v>1</v>
      </c>
      <c r="D5" s="697">
        <v>0.321086128192648</v>
      </c>
      <c r="E5" s="698">
        <v>-0.200296320895495</v>
      </c>
      <c r="F5" s="696">
        <v>13</v>
      </c>
      <c r="G5" s="695">
        <v>25401.6272504976</v>
      </c>
      <c r="H5" s="696">
        <v>1</v>
      </c>
      <c r="I5" s="697">
        <v>0.296440908698807</v>
      </c>
      <c r="J5" s="698">
        <v>0.0919543980931663</v>
      </c>
      <c r="K5" s="696">
        <v>4</v>
      </c>
      <c r="L5" s="695">
        <v>34306.7779504976</v>
      </c>
      <c r="M5" s="696">
        <v>1</v>
      </c>
      <c r="N5" s="697">
        <v>0.259574090952218</v>
      </c>
      <c r="O5" s="697">
        <v>-0.0026547953104139</v>
      </c>
      <c r="P5" s="696">
        <v>16</v>
      </c>
      <c r="Q5" s="97">
        <f t="shared" si="0"/>
        <v>2.6</v>
      </c>
      <c r="R5" s="97">
        <f t="shared" si="1"/>
        <v>7.4</v>
      </c>
    </row>
    <row r="6" s="689" customFormat="1" ht="27" customHeight="1" spans="1:18">
      <c r="A6" s="90" t="s">
        <v>128</v>
      </c>
      <c r="B6" s="695">
        <v>1010.0515</v>
      </c>
      <c r="C6" s="696">
        <v>7</v>
      </c>
      <c r="D6" s="697">
        <v>0.0364186453812822</v>
      </c>
      <c r="E6" s="698">
        <v>-0.357576788715553</v>
      </c>
      <c r="F6" s="696">
        <v>16</v>
      </c>
      <c r="G6" s="695">
        <v>2953.13498790362</v>
      </c>
      <c r="H6" s="696">
        <v>9</v>
      </c>
      <c r="I6" s="697">
        <v>0.0344635408862336</v>
      </c>
      <c r="J6" s="698">
        <v>0.238016860433946</v>
      </c>
      <c r="K6" s="696">
        <v>1</v>
      </c>
      <c r="L6" s="695">
        <v>3963.18648790362</v>
      </c>
      <c r="M6" s="696">
        <v>9</v>
      </c>
      <c r="N6" s="697">
        <v>0.254858433506186</v>
      </c>
      <c r="O6" s="697">
        <v>0.00140452019176029</v>
      </c>
      <c r="P6" s="696">
        <v>14</v>
      </c>
      <c r="Q6" s="97">
        <f t="shared" si="0"/>
        <v>2.5</v>
      </c>
      <c r="R6" s="97">
        <f t="shared" si="1"/>
        <v>7.5</v>
      </c>
    </row>
    <row r="7" s="689" customFormat="1" ht="27" customHeight="1" spans="1:18">
      <c r="A7" s="90" t="s">
        <v>129</v>
      </c>
      <c r="B7" s="695">
        <v>84.3086</v>
      </c>
      <c r="C7" s="696">
        <v>15</v>
      </c>
      <c r="D7" s="697">
        <v>0.00303984995417794</v>
      </c>
      <c r="E7" s="698">
        <v>-0.0528347460721368</v>
      </c>
      <c r="F7" s="696">
        <v>11</v>
      </c>
      <c r="G7" s="695">
        <v>2266.5975139689</v>
      </c>
      <c r="H7" s="696">
        <v>11</v>
      </c>
      <c r="I7" s="697">
        <v>0.0264515426539154</v>
      </c>
      <c r="J7" s="698">
        <v>0.0692864788976724</v>
      </c>
      <c r="K7" s="696">
        <v>5</v>
      </c>
      <c r="L7" s="695">
        <v>2350.9061139689</v>
      </c>
      <c r="M7" s="696">
        <v>12</v>
      </c>
      <c r="N7" s="697">
        <v>0.0358621722488384</v>
      </c>
      <c r="O7" s="697">
        <v>0.0643650344717912</v>
      </c>
      <c r="P7" s="696">
        <v>3</v>
      </c>
      <c r="Q7" s="97">
        <f t="shared" si="0"/>
        <v>0.4</v>
      </c>
      <c r="R7" s="97">
        <f t="shared" si="1"/>
        <v>9.6</v>
      </c>
    </row>
    <row r="8" s="689" customFormat="1" ht="27" customHeight="1" spans="1:18">
      <c r="A8" s="90" t="s">
        <v>130</v>
      </c>
      <c r="B8" s="695">
        <v>5163.4269</v>
      </c>
      <c r="C8" s="696">
        <v>2</v>
      </c>
      <c r="D8" s="697">
        <v>0.186173688394377</v>
      </c>
      <c r="E8" s="698">
        <v>0.0249388918553572</v>
      </c>
      <c r="F8" s="696">
        <v>10</v>
      </c>
      <c r="G8" s="695">
        <v>3603.84422559579</v>
      </c>
      <c r="H8" s="696">
        <v>7</v>
      </c>
      <c r="I8" s="697">
        <v>0.0420574180744124</v>
      </c>
      <c r="J8" s="698">
        <v>-0.0361878120535919</v>
      </c>
      <c r="K8" s="696">
        <v>13</v>
      </c>
      <c r="L8" s="695">
        <v>8767.27112559579</v>
      </c>
      <c r="M8" s="696">
        <v>3</v>
      </c>
      <c r="N8" s="697">
        <v>0.588943449567281</v>
      </c>
      <c r="O8" s="697">
        <v>-0.00110231716285725</v>
      </c>
      <c r="P8" s="696">
        <v>15</v>
      </c>
      <c r="Q8" s="97">
        <f t="shared" si="0"/>
        <v>5.9</v>
      </c>
      <c r="R8" s="97">
        <f t="shared" si="1"/>
        <v>4.1</v>
      </c>
    </row>
    <row r="9" s="689" customFormat="1" ht="27" customHeight="1" spans="1:18">
      <c r="A9" s="90" t="s">
        <v>131</v>
      </c>
      <c r="B9" s="695">
        <v>2202.1737</v>
      </c>
      <c r="C9" s="696">
        <v>4</v>
      </c>
      <c r="D9" s="697">
        <v>0.0794020731104167</v>
      </c>
      <c r="E9" s="698">
        <v>-0.275051345656335</v>
      </c>
      <c r="F9" s="696">
        <v>15</v>
      </c>
      <c r="G9" s="695">
        <v>18259.5264948524</v>
      </c>
      <c r="H9" s="696">
        <v>2</v>
      </c>
      <c r="I9" s="697">
        <v>0.213091491075162</v>
      </c>
      <c r="J9" s="698">
        <v>0.0445087494952492</v>
      </c>
      <c r="K9" s="696">
        <v>8</v>
      </c>
      <c r="L9" s="695">
        <v>20461.7001948524</v>
      </c>
      <c r="M9" s="696">
        <v>2</v>
      </c>
      <c r="N9" s="697">
        <v>0.10762417976166</v>
      </c>
      <c r="O9" s="697">
        <v>-0.00279957876534287</v>
      </c>
      <c r="P9" s="696">
        <v>17</v>
      </c>
      <c r="Q9" s="97">
        <f t="shared" si="0"/>
        <v>1.1</v>
      </c>
      <c r="R9" s="97">
        <f t="shared" si="1"/>
        <v>8.9</v>
      </c>
    </row>
    <row r="10" s="689" customFormat="1" ht="27" customHeight="1" spans="1:18">
      <c r="A10" s="90" t="s">
        <v>132</v>
      </c>
      <c r="B10" s="695">
        <v>780.258</v>
      </c>
      <c r="C10" s="696">
        <v>8</v>
      </c>
      <c r="D10" s="697">
        <v>0.0281331589606158</v>
      </c>
      <c r="E10" s="698">
        <v>0.389027003903477</v>
      </c>
      <c r="F10" s="696">
        <v>3</v>
      </c>
      <c r="G10" s="695">
        <v>658.794199316585</v>
      </c>
      <c r="H10" s="696">
        <v>16</v>
      </c>
      <c r="I10" s="697">
        <v>0.00768822993759528</v>
      </c>
      <c r="J10" s="698">
        <v>-0.181245489565721</v>
      </c>
      <c r="K10" s="696">
        <v>17</v>
      </c>
      <c r="L10" s="695">
        <v>1439.05219931659</v>
      </c>
      <c r="M10" s="696">
        <v>14</v>
      </c>
      <c r="N10" s="697">
        <v>0.542202708401092</v>
      </c>
      <c r="O10" s="697">
        <v>0.0532016572976677</v>
      </c>
      <c r="P10" s="696">
        <v>5</v>
      </c>
      <c r="Q10" s="97">
        <f t="shared" si="0"/>
        <v>5.4</v>
      </c>
      <c r="R10" s="97">
        <f t="shared" si="1"/>
        <v>4.6</v>
      </c>
    </row>
    <row r="11" s="689" customFormat="1" ht="27" customHeight="1" spans="1:18">
      <c r="A11" s="90" t="s">
        <v>133</v>
      </c>
      <c r="B11" s="695">
        <v>551.9037</v>
      </c>
      <c r="C11" s="696">
        <v>10</v>
      </c>
      <c r="D11" s="697">
        <v>0.0198995646607302</v>
      </c>
      <c r="E11" s="698">
        <v>-0.0787655975756626</v>
      </c>
      <c r="F11" s="696">
        <v>12</v>
      </c>
      <c r="G11" s="695">
        <v>6622.43963271977</v>
      </c>
      <c r="H11" s="696">
        <v>3</v>
      </c>
      <c r="I11" s="697">
        <v>0.0772848921514659</v>
      </c>
      <c r="J11" s="698">
        <v>0.0379013071400227</v>
      </c>
      <c r="K11" s="696">
        <v>9</v>
      </c>
      <c r="L11" s="695">
        <v>7174.34333271977</v>
      </c>
      <c r="M11" s="696">
        <v>5</v>
      </c>
      <c r="N11" s="697">
        <v>0.07692741682475</v>
      </c>
      <c r="O11" s="697">
        <v>0.0278873849304933</v>
      </c>
      <c r="P11" s="696">
        <v>10</v>
      </c>
      <c r="Q11" s="97">
        <f t="shared" si="0"/>
        <v>0.8</v>
      </c>
      <c r="R11" s="97">
        <f t="shared" si="1"/>
        <v>9.2</v>
      </c>
    </row>
    <row r="12" s="689" customFormat="1" ht="27" customHeight="1" spans="1:18">
      <c r="A12" s="90" t="s">
        <v>134</v>
      </c>
      <c r="B12" s="695">
        <v>1203.2618</v>
      </c>
      <c r="C12" s="696">
        <v>5</v>
      </c>
      <c r="D12" s="697">
        <v>0.0433850796667727</v>
      </c>
      <c r="E12" s="698">
        <v>0.27687803225713</v>
      </c>
      <c r="F12" s="696">
        <v>5</v>
      </c>
      <c r="G12" s="695">
        <v>1477.4279510378</v>
      </c>
      <c r="H12" s="696">
        <v>13</v>
      </c>
      <c r="I12" s="697">
        <v>0.0172418121100523</v>
      </c>
      <c r="J12" s="698">
        <v>-0.11724967060268</v>
      </c>
      <c r="K12" s="696">
        <v>16</v>
      </c>
      <c r="L12" s="695">
        <v>2680.6897510378</v>
      </c>
      <c r="M12" s="696">
        <v>11</v>
      </c>
      <c r="N12" s="697">
        <v>0.448862759867743</v>
      </c>
      <c r="O12" s="697">
        <v>0.0247240832324476</v>
      </c>
      <c r="P12" s="696">
        <v>11</v>
      </c>
      <c r="Q12" s="97">
        <f t="shared" si="0"/>
        <v>4.5</v>
      </c>
      <c r="R12" s="97">
        <f t="shared" si="1"/>
        <v>5.5</v>
      </c>
    </row>
    <row r="13" s="689" customFormat="1" ht="27" customHeight="1" spans="1:18">
      <c r="A13" s="90" t="s">
        <v>135</v>
      </c>
      <c r="B13" s="695">
        <v>1166.3033</v>
      </c>
      <c r="C13" s="696">
        <v>6</v>
      </c>
      <c r="D13" s="697">
        <v>0.0420524956298952</v>
      </c>
      <c r="E13" s="698">
        <v>0.0276134087531128</v>
      </c>
      <c r="F13" s="696">
        <v>9</v>
      </c>
      <c r="G13" s="695">
        <v>5798.33433466227</v>
      </c>
      <c r="H13" s="696">
        <v>4</v>
      </c>
      <c r="I13" s="697">
        <v>0.0676674561891741</v>
      </c>
      <c r="J13" s="698">
        <v>0.0627879083674903</v>
      </c>
      <c r="K13" s="696">
        <v>6</v>
      </c>
      <c r="L13" s="695">
        <v>6964.63763466227</v>
      </c>
      <c r="M13" s="696">
        <v>6</v>
      </c>
      <c r="N13" s="697">
        <v>0.167460729643051</v>
      </c>
      <c r="O13" s="697">
        <v>0.0567306590115026</v>
      </c>
      <c r="P13" s="696">
        <v>4</v>
      </c>
      <c r="Q13" s="97">
        <f t="shared" si="0"/>
        <v>1.7</v>
      </c>
      <c r="R13" s="97">
        <f t="shared" si="1"/>
        <v>8.3</v>
      </c>
    </row>
    <row r="14" s="689" customFormat="1" ht="27" customHeight="1" spans="1:18">
      <c r="A14" s="90" t="s">
        <v>136</v>
      </c>
      <c r="B14" s="695">
        <v>4836.463</v>
      </c>
      <c r="C14" s="696">
        <v>3</v>
      </c>
      <c r="D14" s="697">
        <v>0.174384604049093</v>
      </c>
      <c r="E14" s="698">
        <v>0.135086913846279</v>
      </c>
      <c r="F14" s="696">
        <v>6</v>
      </c>
      <c r="G14" s="695">
        <v>2995.93537712321</v>
      </c>
      <c r="H14" s="696">
        <v>8</v>
      </c>
      <c r="I14" s="697">
        <v>0.0349630280312027</v>
      </c>
      <c r="J14" s="698">
        <v>-0.104894192370925</v>
      </c>
      <c r="K14" s="696">
        <v>15</v>
      </c>
      <c r="L14" s="695">
        <v>7832.39837712321</v>
      </c>
      <c r="M14" s="696">
        <v>4</v>
      </c>
      <c r="N14" s="697">
        <v>0.61749451025452</v>
      </c>
      <c r="O14" s="697">
        <v>0.02950956891227</v>
      </c>
      <c r="P14" s="696">
        <v>9</v>
      </c>
      <c r="Q14" s="97">
        <f t="shared" si="0"/>
        <v>6.2</v>
      </c>
      <c r="R14" s="97">
        <f t="shared" si="1"/>
        <v>3.8</v>
      </c>
    </row>
    <row r="15" s="689" customFormat="1" ht="27" customHeight="1" spans="1:18">
      <c r="A15" s="90" t="s">
        <v>137</v>
      </c>
      <c r="B15" s="695">
        <v>648.3214</v>
      </c>
      <c r="C15" s="696">
        <v>9</v>
      </c>
      <c r="D15" s="697">
        <v>0.0233760230638699</v>
      </c>
      <c r="E15" s="698">
        <v>0.345282567452292</v>
      </c>
      <c r="F15" s="696">
        <v>4</v>
      </c>
      <c r="G15" s="695">
        <v>4139.74939184997</v>
      </c>
      <c r="H15" s="696">
        <v>6</v>
      </c>
      <c r="I15" s="697">
        <v>0.0483115140381922</v>
      </c>
      <c r="J15" s="698">
        <v>0.0103773033142722</v>
      </c>
      <c r="K15" s="696">
        <v>10</v>
      </c>
      <c r="L15" s="695">
        <v>4788.07079184997</v>
      </c>
      <c r="M15" s="696">
        <v>8</v>
      </c>
      <c r="N15" s="697">
        <v>0.135403470037148</v>
      </c>
      <c r="O15" s="697">
        <v>0.0456236115912594</v>
      </c>
      <c r="P15" s="696">
        <v>8</v>
      </c>
      <c r="Q15" s="97">
        <f t="shared" si="0"/>
        <v>1.4</v>
      </c>
      <c r="R15" s="97">
        <f t="shared" si="1"/>
        <v>8.6</v>
      </c>
    </row>
    <row r="16" s="689" customFormat="1" ht="27" customHeight="1" spans="1:18">
      <c r="A16" s="90" t="s">
        <v>138</v>
      </c>
      <c r="B16" s="695">
        <v>409.4403</v>
      </c>
      <c r="C16" s="696">
        <v>11</v>
      </c>
      <c r="D16" s="697">
        <v>0.0147628720817758</v>
      </c>
      <c r="E16" s="698">
        <v>-0.48456198564343</v>
      </c>
      <c r="F16" s="696">
        <v>17</v>
      </c>
      <c r="G16" s="695">
        <v>5044.13022826661</v>
      </c>
      <c r="H16" s="696">
        <v>5</v>
      </c>
      <c r="I16" s="697">
        <v>0.058865777917168</v>
      </c>
      <c r="J16" s="698">
        <v>0.14107841055718</v>
      </c>
      <c r="K16" s="696">
        <v>3</v>
      </c>
      <c r="L16" s="695">
        <v>5453.57052826661</v>
      </c>
      <c r="M16" s="696">
        <v>7</v>
      </c>
      <c r="N16" s="697">
        <v>0.0750774740837795</v>
      </c>
      <c r="O16" s="697">
        <v>0.0457774530631871</v>
      </c>
      <c r="P16" s="696">
        <v>7</v>
      </c>
      <c r="Q16" s="97">
        <f t="shared" si="0"/>
        <v>0.8</v>
      </c>
      <c r="R16" s="97">
        <f t="shared" si="1"/>
        <v>9.2</v>
      </c>
    </row>
    <row r="17" s="689" customFormat="1" ht="27" customHeight="1" spans="1:18">
      <c r="A17" s="90" t="s">
        <v>105</v>
      </c>
      <c r="B17" s="695">
        <v>41.0537</v>
      </c>
      <c r="C17" s="696">
        <v>16</v>
      </c>
      <c r="D17" s="697">
        <v>0.0014802414945075</v>
      </c>
      <c r="E17" s="698">
        <v>0.410833399200657</v>
      </c>
      <c r="F17" s="696">
        <v>2</v>
      </c>
      <c r="G17" s="695">
        <v>2739.57966701833</v>
      </c>
      <c r="H17" s="696">
        <v>10</v>
      </c>
      <c r="I17" s="697">
        <v>0.0319713173465208</v>
      </c>
      <c r="J17" s="698">
        <v>0.00342367274143252</v>
      </c>
      <c r="K17" s="696">
        <v>12</v>
      </c>
      <c r="L17" s="695">
        <v>2780.63336701833</v>
      </c>
      <c r="M17" s="696">
        <v>10</v>
      </c>
      <c r="N17" s="697">
        <v>0.0147641542703711</v>
      </c>
      <c r="O17" s="697">
        <v>0.00772006714463691</v>
      </c>
      <c r="P17" s="696">
        <v>13</v>
      </c>
      <c r="Q17" s="97">
        <f t="shared" si="0"/>
        <v>0.1</v>
      </c>
      <c r="R17" s="97">
        <f t="shared" si="1"/>
        <v>9.9</v>
      </c>
    </row>
    <row r="18" s="689" customFormat="1" ht="27" customHeight="1" spans="1:18">
      <c r="A18" s="90" t="s">
        <v>107</v>
      </c>
      <c r="B18" s="695">
        <v>126.4174</v>
      </c>
      <c r="C18" s="696">
        <v>14</v>
      </c>
      <c r="D18" s="697">
        <v>0.00455813437297375</v>
      </c>
      <c r="E18" s="698">
        <v>5.54625765092122</v>
      </c>
      <c r="F18" s="696">
        <v>1</v>
      </c>
      <c r="G18" s="695">
        <v>792.235600032975</v>
      </c>
      <c r="H18" s="696">
        <v>15</v>
      </c>
      <c r="I18" s="697">
        <v>0.0092455116698368</v>
      </c>
      <c r="J18" s="698">
        <v>-0.0580964450676068</v>
      </c>
      <c r="K18" s="696">
        <v>14</v>
      </c>
      <c r="L18" s="695">
        <v>918.653000032975</v>
      </c>
      <c r="M18" s="696">
        <v>16</v>
      </c>
      <c r="N18" s="697">
        <v>0.137611698862859</v>
      </c>
      <c r="O18" s="697">
        <v>0.0676897244889865</v>
      </c>
      <c r="P18" s="696">
        <v>2</v>
      </c>
      <c r="Q18" s="97">
        <f t="shared" si="0"/>
        <v>1.4</v>
      </c>
      <c r="R18" s="97">
        <f t="shared" si="1"/>
        <v>8.6</v>
      </c>
    </row>
    <row r="19" s="689" customFormat="1" ht="27" customHeight="1" spans="1:18">
      <c r="A19" s="90" t="s">
        <v>109</v>
      </c>
      <c r="B19" s="695">
        <v>267.4094</v>
      </c>
      <c r="C19" s="696">
        <v>13</v>
      </c>
      <c r="D19" s="697">
        <v>0.00964177382066304</v>
      </c>
      <c r="E19" s="698">
        <v>0.0598345543064867</v>
      </c>
      <c r="F19" s="696">
        <v>8</v>
      </c>
      <c r="G19" s="695">
        <v>1092.97987963564</v>
      </c>
      <c r="H19" s="696">
        <v>14</v>
      </c>
      <c r="I19" s="697">
        <v>0.0127552438083412</v>
      </c>
      <c r="J19" s="698">
        <v>0.0049698737605206</v>
      </c>
      <c r="K19" s="696">
        <v>11</v>
      </c>
      <c r="L19" s="695">
        <v>1360.38927963564</v>
      </c>
      <c r="M19" s="696">
        <v>15</v>
      </c>
      <c r="N19" s="697">
        <v>0.196568294092719</v>
      </c>
      <c r="O19" s="697">
        <v>0.0153013699718465</v>
      </c>
      <c r="P19" s="696">
        <v>12</v>
      </c>
      <c r="Q19" s="97">
        <f t="shared" si="0"/>
        <v>2</v>
      </c>
      <c r="R19" s="97">
        <f t="shared" si="1"/>
        <v>8</v>
      </c>
    </row>
    <row r="20" s="689" customFormat="1" ht="27" customHeight="1" spans="1:18">
      <c r="A20" s="90" t="s">
        <v>111</v>
      </c>
      <c r="B20" s="695">
        <v>299.4143</v>
      </c>
      <c r="C20" s="696">
        <v>12</v>
      </c>
      <c r="D20" s="697">
        <v>0.0107957497353203</v>
      </c>
      <c r="E20" s="698">
        <v>0.0751610869165538</v>
      </c>
      <c r="F20" s="696">
        <v>7</v>
      </c>
      <c r="G20" s="695">
        <v>1708.37809356723</v>
      </c>
      <c r="H20" s="696">
        <v>12</v>
      </c>
      <c r="I20" s="697">
        <v>0.0199370359018351</v>
      </c>
      <c r="J20" s="698">
        <v>0.0464886033830441</v>
      </c>
      <c r="K20" s="696">
        <v>7</v>
      </c>
      <c r="L20" s="695">
        <v>2007.79239356723</v>
      </c>
      <c r="M20" s="696">
        <v>13</v>
      </c>
      <c r="N20" s="697">
        <v>0.149126125270369</v>
      </c>
      <c r="O20" s="697">
        <v>0.0506670090682515</v>
      </c>
      <c r="P20" s="696">
        <v>6</v>
      </c>
      <c r="Q20" s="97">
        <f t="shared" si="0"/>
        <v>1.5</v>
      </c>
      <c r="R20" s="97">
        <f t="shared" si="1"/>
        <v>8.5</v>
      </c>
    </row>
    <row r="21" s="689" customFormat="1" ht="27" customHeight="1" spans="1:18">
      <c r="A21" s="90" t="s">
        <v>112</v>
      </c>
      <c r="B21" s="695">
        <v>39.1033</v>
      </c>
      <c r="C21" s="696">
        <v>17</v>
      </c>
      <c r="D21" s="697">
        <v>0.00140991743088139</v>
      </c>
      <c r="E21" s="698">
        <v>-0.241176755964798</v>
      </c>
      <c r="F21" s="696">
        <v>14</v>
      </c>
      <c r="G21" s="695">
        <v>133.955342323738</v>
      </c>
      <c r="H21" s="696">
        <v>17</v>
      </c>
      <c r="I21" s="697">
        <v>0.00156327951008457</v>
      </c>
      <c r="J21" s="698">
        <v>0.215457450654913</v>
      </c>
      <c r="K21" s="696">
        <v>2</v>
      </c>
      <c r="L21" s="695">
        <v>173.058642323738</v>
      </c>
      <c r="M21" s="696">
        <v>17</v>
      </c>
      <c r="N21" s="697">
        <v>0.225954043525027</v>
      </c>
      <c r="O21" s="697">
        <v>0.069971769193186</v>
      </c>
      <c r="P21" s="696">
        <v>1</v>
      </c>
      <c r="Q21" s="97">
        <f t="shared" si="0"/>
        <v>2.3</v>
      </c>
      <c r="R21" s="97">
        <f t="shared" si="1"/>
        <v>7.7</v>
      </c>
    </row>
    <row r="22" ht="49" customHeight="1" spans="1:18">
      <c r="A22" s="122" t="s">
        <v>139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699"/>
    </row>
    <row r="23" s="689" customFormat="1" ht="46.95" customHeight="1" spans="1:18">
      <c r="A23" s="678" t="s">
        <v>114</v>
      </c>
      <c r="B23" s="124" t="s">
        <v>115</v>
      </c>
      <c r="C23" s="236"/>
      <c r="D23" s="139"/>
      <c r="E23" s="124" t="s">
        <v>116</v>
      </c>
      <c r="F23" s="238"/>
      <c r="G23" s="124" t="s">
        <v>117</v>
      </c>
      <c r="H23" s="236"/>
      <c r="I23" s="139"/>
      <c r="J23" s="124" t="s">
        <v>118</v>
      </c>
      <c r="K23" s="238"/>
      <c r="L23" s="124" t="s">
        <v>119</v>
      </c>
      <c r="M23" s="236"/>
      <c r="N23" s="139"/>
      <c r="O23" s="124" t="s">
        <v>120</v>
      </c>
      <c r="P23" s="238"/>
      <c r="Q23" s="124" t="s">
        <v>121</v>
      </c>
      <c r="R23" s="650"/>
    </row>
    <row r="24" s="689" customFormat="1" ht="28.8" customHeight="1" spans="1:18">
      <c r="A24" s="29"/>
      <c r="B24" s="691" t="s">
        <v>140</v>
      </c>
      <c r="C24" s="691" t="s">
        <v>123</v>
      </c>
      <c r="D24" s="691" t="s">
        <v>124</v>
      </c>
      <c r="E24" s="691" t="s">
        <v>12</v>
      </c>
      <c r="F24" s="691" t="s">
        <v>125</v>
      </c>
      <c r="G24" s="691" t="s">
        <v>140</v>
      </c>
      <c r="H24" s="691" t="s">
        <v>123</v>
      </c>
      <c r="I24" s="691" t="s">
        <v>124</v>
      </c>
      <c r="J24" s="691" t="s">
        <v>12</v>
      </c>
      <c r="K24" s="691" t="s">
        <v>126</v>
      </c>
      <c r="L24" s="691" t="s">
        <v>140</v>
      </c>
      <c r="M24" s="691" t="s">
        <v>123</v>
      </c>
      <c r="N24" s="691" t="s">
        <v>124</v>
      </c>
      <c r="O24" s="691" t="s">
        <v>12</v>
      </c>
      <c r="P24" s="691" t="s">
        <v>126</v>
      </c>
      <c r="Q24" s="679"/>
      <c r="R24" s="339"/>
    </row>
    <row r="25" s="689" customFormat="1" ht="27" customHeight="1" spans="1:18">
      <c r="A25" s="678" t="s">
        <v>80</v>
      </c>
      <c r="B25" s="692">
        <v>3754.7823</v>
      </c>
      <c r="C25" s="693"/>
      <c r="D25" s="694"/>
      <c r="E25" s="694">
        <v>-0.0250257552236527</v>
      </c>
      <c r="F25" s="693"/>
      <c r="G25" s="692">
        <v>12530.9282413941</v>
      </c>
      <c r="H25" s="693"/>
      <c r="I25" s="694"/>
      <c r="J25" s="694">
        <v>0.0281998749974559</v>
      </c>
      <c r="K25" s="693"/>
      <c r="L25" s="692">
        <v>16285.7105413941</v>
      </c>
      <c r="M25" s="693"/>
      <c r="N25" s="694"/>
      <c r="O25" s="694">
        <v>0.0154192784905991</v>
      </c>
      <c r="P25" s="693"/>
      <c r="Q25" s="97">
        <f t="shared" ref="Q25:Q42" si="2">ROUND(B25/L25*10,1)</f>
        <v>2.3</v>
      </c>
      <c r="R25" s="97">
        <f t="shared" ref="R25:R42" si="3">10-Q25</f>
        <v>7.7</v>
      </c>
    </row>
    <row r="26" s="689" customFormat="1" ht="27" customHeight="1" spans="1:18">
      <c r="A26" s="90" t="s">
        <v>127</v>
      </c>
      <c r="B26" s="695">
        <v>1227.5499</v>
      </c>
      <c r="C26" s="696">
        <v>1</v>
      </c>
      <c r="D26" s="697">
        <v>0.326929713075509</v>
      </c>
      <c r="E26" s="698">
        <v>0.0600767490274676</v>
      </c>
      <c r="F26" s="696">
        <v>8</v>
      </c>
      <c r="G26" s="695">
        <v>3713.42161207247</v>
      </c>
      <c r="H26" s="696">
        <v>1</v>
      </c>
      <c r="I26" s="697">
        <v>0.296340505710161</v>
      </c>
      <c r="J26" s="698">
        <v>-0.00187901031176518</v>
      </c>
      <c r="K26" s="696">
        <v>12</v>
      </c>
      <c r="L26" s="695">
        <v>4940.97151207247</v>
      </c>
      <c r="M26" s="696">
        <v>1</v>
      </c>
      <c r="N26" s="697">
        <v>0.303393057337829</v>
      </c>
      <c r="O26" s="697">
        <v>0.0128273980571205</v>
      </c>
      <c r="P26" s="696">
        <v>9</v>
      </c>
      <c r="Q26" s="97">
        <f t="shared" si="2"/>
        <v>2.5</v>
      </c>
      <c r="R26" s="97">
        <f t="shared" si="3"/>
        <v>7.5</v>
      </c>
    </row>
    <row r="27" s="689" customFormat="1" ht="27" customHeight="1" spans="1:18">
      <c r="A27" s="90" t="s">
        <v>128</v>
      </c>
      <c r="B27" s="695">
        <v>133.0799</v>
      </c>
      <c r="C27" s="696">
        <v>7</v>
      </c>
      <c r="D27" s="697">
        <v>0.035442773872669</v>
      </c>
      <c r="E27" s="698">
        <v>-0.324560771304672</v>
      </c>
      <c r="F27" s="696">
        <v>15</v>
      </c>
      <c r="G27" s="695">
        <v>427.507038725796</v>
      </c>
      <c r="H27" s="696">
        <v>9</v>
      </c>
      <c r="I27" s="697">
        <v>0.0341161508940406</v>
      </c>
      <c r="J27" s="698">
        <v>0.183610967558413</v>
      </c>
      <c r="K27" s="696">
        <v>3</v>
      </c>
      <c r="L27" s="695">
        <v>560.586938725796</v>
      </c>
      <c r="M27" s="696">
        <v>9</v>
      </c>
      <c r="N27" s="697">
        <v>0.0344220129235951</v>
      </c>
      <c r="O27" s="697">
        <v>0.00424732919391513</v>
      </c>
      <c r="P27" s="696">
        <v>13</v>
      </c>
      <c r="Q27" s="97">
        <f t="shared" si="2"/>
        <v>2.4</v>
      </c>
      <c r="R27" s="97">
        <f t="shared" si="3"/>
        <v>7.6</v>
      </c>
    </row>
    <row r="28" s="689" customFormat="1" ht="27" customHeight="1" spans="1:18">
      <c r="A28" s="90" t="s">
        <v>129</v>
      </c>
      <c r="B28" s="695">
        <v>12.3819</v>
      </c>
      <c r="C28" s="696">
        <v>15</v>
      </c>
      <c r="D28" s="697">
        <v>0.0032976345925568</v>
      </c>
      <c r="E28" s="698">
        <v>-0.0237558344897186</v>
      </c>
      <c r="F28" s="696">
        <v>11</v>
      </c>
      <c r="G28" s="695">
        <v>312.712232817206</v>
      </c>
      <c r="H28" s="696">
        <v>11</v>
      </c>
      <c r="I28" s="697">
        <v>0.0249552329079826</v>
      </c>
      <c r="J28" s="698">
        <v>0.0477584302523466</v>
      </c>
      <c r="K28" s="696">
        <v>6</v>
      </c>
      <c r="L28" s="695">
        <v>325.094132817206</v>
      </c>
      <c r="M28" s="696">
        <v>12</v>
      </c>
      <c r="N28" s="697">
        <v>0.0199619250256782</v>
      </c>
      <c r="O28" s="697">
        <v>0.0448432626163937</v>
      </c>
      <c r="P28" s="696">
        <v>4</v>
      </c>
      <c r="Q28" s="97">
        <f t="shared" si="2"/>
        <v>0.4</v>
      </c>
      <c r="R28" s="97">
        <f t="shared" si="3"/>
        <v>9.6</v>
      </c>
    </row>
    <row r="29" s="689" customFormat="1" ht="27" customHeight="1" spans="1:18">
      <c r="A29" s="90" t="s">
        <v>130</v>
      </c>
      <c r="B29" s="695">
        <v>696.23</v>
      </c>
      <c r="C29" s="696">
        <v>2</v>
      </c>
      <c r="D29" s="697">
        <v>0.185424864711864</v>
      </c>
      <c r="E29" s="698">
        <v>0.0962572191694091</v>
      </c>
      <c r="F29" s="696">
        <v>6</v>
      </c>
      <c r="G29" s="695">
        <v>595.43549600708</v>
      </c>
      <c r="H29" s="696">
        <v>7</v>
      </c>
      <c r="I29" s="697">
        <v>0.0475172696337168</v>
      </c>
      <c r="J29" s="698">
        <v>-0.0671271158944112</v>
      </c>
      <c r="K29" s="696">
        <v>15</v>
      </c>
      <c r="L29" s="695">
        <v>1291.66549600708</v>
      </c>
      <c r="M29" s="696">
        <v>3</v>
      </c>
      <c r="N29" s="697">
        <v>0.0793128118496272</v>
      </c>
      <c r="O29" s="697">
        <v>0.0143607734437621</v>
      </c>
      <c r="P29" s="696">
        <v>7</v>
      </c>
      <c r="Q29" s="97">
        <f t="shared" si="2"/>
        <v>5.4</v>
      </c>
      <c r="R29" s="97">
        <f t="shared" si="3"/>
        <v>4.6</v>
      </c>
    </row>
    <row r="30" s="689" customFormat="1" ht="27" customHeight="1" spans="1:18">
      <c r="A30" s="90" t="s">
        <v>131</v>
      </c>
      <c r="B30" s="695">
        <v>344.5188</v>
      </c>
      <c r="C30" s="696">
        <v>4</v>
      </c>
      <c r="D30" s="697">
        <v>0.0917546671081303</v>
      </c>
      <c r="E30" s="698">
        <v>-0.235626174370225</v>
      </c>
      <c r="F30" s="696">
        <v>14</v>
      </c>
      <c r="G30" s="695">
        <v>2578.92534209697</v>
      </c>
      <c r="H30" s="696">
        <v>2</v>
      </c>
      <c r="I30" s="697">
        <v>0.2058048128931</v>
      </c>
      <c r="J30" s="698">
        <v>0.0507459891240589</v>
      </c>
      <c r="K30" s="696">
        <v>5</v>
      </c>
      <c r="L30" s="695">
        <v>2923.44414209697</v>
      </c>
      <c r="M30" s="696">
        <v>2</v>
      </c>
      <c r="N30" s="697">
        <v>0.179509769295379</v>
      </c>
      <c r="O30" s="697">
        <v>0.00631587361500019</v>
      </c>
      <c r="P30" s="696">
        <v>10</v>
      </c>
      <c r="Q30" s="97">
        <f t="shared" si="2"/>
        <v>1.2</v>
      </c>
      <c r="R30" s="97">
        <f t="shared" si="3"/>
        <v>8.8</v>
      </c>
    </row>
    <row r="31" s="689" customFormat="1" ht="27" customHeight="1" spans="1:18">
      <c r="A31" s="90" t="s">
        <v>132</v>
      </c>
      <c r="B31" s="695">
        <v>88.2501</v>
      </c>
      <c r="C31" s="696">
        <v>8</v>
      </c>
      <c r="D31" s="697">
        <v>0.0235033866011353</v>
      </c>
      <c r="E31" s="698">
        <v>0.326632282000364</v>
      </c>
      <c r="F31" s="696">
        <v>4</v>
      </c>
      <c r="G31" s="695">
        <v>108.677858695634</v>
      </c>
      <c r="H31" s="696">
        <v>15</v>
      </c>
      <c r="I31" s="697">
        <v>0.00867277001368761</v>
      </c>
      <c r="J31" s="698">
        <v>-0.12246439010344</v>
      </c>
      <c r="K31" s="696">
        <v>16</v>
      </c>
      <c r="L31" s="695">
        <v>196.927958695634</v>
      </c>
      <c r="M31" s="696">
        <v>14</v>
      </c>
      <c r="N31" s="697">
        <v>0.0120920704193467</v>
      </c>
      <c r="O31" s="697">
        <v>0.0344686706740596</v>
      </c>
      <c r="P31" s="696">
        <v>5</v>
      </c>
      <c r="Q31" s="97">
        <f t="shared" si="2"/>
        <v>4.5</v>
      </c>
      <c r="R31" s="97">
        <f t="shared" si="3"/>
        <v>5.5</v>
      </c>
    </row>
    <row r="32" s="689" customFormat="1" ht="27" customHeight="1" spans="1:18">
      <c r="A32" s="90" t="s">
        <v>133</v>
      </c>
      <c r="B32" s="695">
        <v>77.6389</v>
      </c>
      <c r="C32" s="696">
        <v>10</v>
      </c>
      <c r="D32" s="697">
        <v>0.0206773372719904</v>
      </c>
      <c r="E32" s="698">
        <v>-0.113164507801613</v>
      </c>
      <c r="F32" s="696">
        <v>13</v>
      </c>
      <c r="G32" s="695">
        <v>983.30762802068</v>
      </c>
      <c r="H32" s="696">
        <v>3</v>
      </c>
      <c r="I32" s="697">
        <v>0.0784704539901893</v>
      </c>
      <c r="J32" s="698">
        <v>0.0145677411454048</v>
      </c>
      <c r="K32" s="696">
        <v>8</v>
      </c>
      <c r="L32" s="695">
        <v>1060.94652802068</v>
      </c>
      <c r="M32" s="696">
        <v>4</v>
      </c>
      <c r="N32" s="697">
        <v>0.0651458544178362</v>
      </c>
      <c r="O32" s="697">
        <v>0.00398566499059938</v>
      </c>
      <c r="P32" s="696">
        <v>14</v>
      </c>
      <c r="Q32" s="97">
        <f t="shared" si="2"/>
        <v>0.7</v>
      </c>
      <c r="R32" s="97">
        <f t="shared" si="3"/>
        <v>9.3</v>
      </c>
    </row>
    <row r="33" s="689" customFormat="1" ht="27" customHeight="1" spans="1:18">
      <c r="A33" s="90" t="s">
        <v>134</v>
      </c>
      <c r="B33" s="695">
        <v>164.6195</v>
      </c>
      <c r="C33" s="696">
        <v>5</v>
      </c>
      <c r="D33" s="697">
        <v>0.043842621714713</v>
      </c>
      <c r="E33" s="698">
        <v>0.113522555630638</v>
      </c>
      <c r="F33" s="696">
        <v>5</v>
      </c>
      <c r="G33" s="695">
        <v>218.751522267096</v>
      </c>
      <c r="H33" s="696">
        <v>13</v>
      </c>
      <c r="I33" s="697">
        <v>0.0174569288127022</v>
      </c>
      <c r="J33" s="698">
        <v>-0.0504968469288232</v>
      </c>
      <c r="K33" s="696">
        <v>14</v>
      </c>
      <c r="L33" s="695">
        <v>383.371022267096</v>
      </c>
      <c r="M33" s="696">
        <v>11</v>
      </c>
      <c r="N33" s="697">
        <v>0.0235403313409424</v>
      </c>
      <c r="O33" s="697">
        <v>0.0136138879050485</v>
      </c>
      <c r="P33" s="696">
        <v>8</v>
      </c>
      <c r="Q33" s="97">
        <f t="shared" si="2"/>
        <v>4.3</v>
      </c>
      <c r="R33" s="97">
        <f t="shared" si="3"/>
        <v>5.7</v>
      </c>
    </row>
    <row r="34" s="689" customFormat="1" ht="27" customHeight="1" spans="1:18">
      <c r="A34" s="90" t="s">
        <v>135</v>
      </c>
      <c r="B34" s="695">
        <v>145.222</v>
      </c>
      <c r="C34" s="696">
        <v>6</v>
      </c>
      <c r="D34" s="697">
        <v>0.0386765432445977</v>
      </c>
      <c r="E34" s="698">
        <v>0.0834972260107378</v>
      </c>
      <c r="F34" s="696">
        <v>7</v>
      </c>
      <c r="G34" s="695">
        <v>869.59670521625</v>
      </c>
      <c r="H34" s="696">
        <v>4</v>
      </c>
      <c r="I34" s="697">
        <v>0.0693960326373639</v>
      </c>
      <c r="J34" s="698">
        <v>0.0429071211796081</v>
      </c>
      <c r="K34" s="696">
        <v>7</v>
      </c>
      <c r="L34" s="695">
        <v>1014.81870521625</v>
      </c>
      <c r="M34" s="696">
        <v>6</v>
      </c>
      <c r="N34" s="697">
        <v>0.0623134435944223</v>
      </c>
      <c r="O34" s="697">
        <v>0.0485281578296008</v>
      </c>
      <c r="P34" s="696">
        <v>3</v>
      </c>
      <c r="Q34" s="97">
        <f t="shared" si="2"/>
        <v>1.4</v>
      </c>
      <c r="R34" s="97">
        <f t="shared" si="3"/>
        <v>8.6</v>
      </c>
    </row>
    <row r="35" s="689" customFormat="1" ht="27" customHeight="1" spans="1:18">
      <c r="A35" s="90" t="s">
        <v>136</v>
      </c>
      <c r="B35" s="695">
        <v>608.7164</v>
      </c>
      <c r="C35" s="696">
        <v>3</v>
      </c>
      <c r="D35" s="697">
        <v>0.162117627964742</v>
      </c>
      <c r="E35" s="698">
        <v>-0.0908452208303898</v>
      </c>
      <c r="F35" s="696">
        <v>12</v>
      </c>
      <c r="G35" s="695">
        <v>448.939300967</v>
      </c>
      <c r="H35" s="696">
        <v>8</v>
      </c>
      <c r="I35" s="697">
        <v>0.035826500026071</v>
      </c>
      <c r="J35" s="698">
        <v>0.118623776091838</v>
      </c>
      <c r="K35" s="696">
        <v>4</v>
      </c>
      <c r="L35" s="695">
        <v>1057.655700967</v>
      </c>
      <c r="M35" s="696">
        <v>5</v>
      </c>
      <c r="N35" s="697">
        <v>0.0649437860435202</v>
      </c>
      <c r="O35" s="697">
        <v>-0.0123423674161995</v>
      </c>
      <c r="P35" s="696">
        <v>17</v>
      </c>
      <c r="Q35" s="97">
        <f t="shared" si="2"/>
        <v>5.8</v>
      </c>
      <c r="R35" s="97">
        <f t="shared" si="3"/>
        <v>4.2</v>
      </c>
    </row>
    <row r="36" s="689" customFormat="1" ht="27" customHeight="1" spans="1:18">
      <c r="A36" s="90" t="s">
        <v>137</v>
      </c>
      <c r="B36" s="695">
        <v>80.5683</v>
      </c>
      <c r="C36" s="696">
        <v>9</v>
      </c>
      <c r="D36" s="697">
        <v>0.0214575156594298</v>
      </c>
      <c r="E36" s="698">
        <v>0.00304268094552174</v>
      </c>
      <c r="F36" s="696">
        <v>9</v>
      </c>
      <c r="G36" s="695">
        <v>624.620089585299</v>
      </c>
      <c r="H36" s="696">
        <v>6</v>
      </c>
      <c r="I36" s="697">
        <v>0.0498462745578542</v>
      </c>
      <c r="J36" s="698">
        <v>0.00544042323644067</v>
      </c>
      <c r="K36" s="696">
        <v>9</v>
      </c>
      <c r="L36" s="695">
        <v>705.188389585299</v>
      </c>
      <c r="M36" s="696">
        <v>8</v>
      </c>
      <c r="N36" s="697">
        <v>0.0433010514212991</v>
      </c>
      <c r="O36" s="697">
        <v>0.00516589951128466</v>
      </c>
      <c r="P36" s="696">
        <v>11</v>
      </c>
      <c r="Q36" s="97">
        <f t="shared" si="2"/>
        <v>1.1</v>
      </c>
      <c r="R36" s="97">
        <f t="shared" si="3"/>
        <v>8.9</v>
      </c>
    </row>
    <row r="37" s="689" customFormat="1" ht="27" customHeight="1" spans="1:18">
      <c r="A37" s="90" t="s">
        <v>138</v>
      </c>
      <c r="B37" s="695">
        <v>50.6647</v>
      </c>
      <c r="C37" s="696">
        <v>11</v>
      </c>
      <c r="D37" s="697">
        <v>0.0134933788305117</v>
      </c>
      <c r="E37" s="698">
        <v>-0.58153662412491</v>
      </c>
      <c r="F37" s="696">
        <v>17</v>
      </c>
      <c r="G37" s="695">
        <v>734.970488406941</v>
      </c>
      <c r="H37" s="696">
        <v>5</v>
      </c>
      <c r="I37" s="697">
        <v>0.0586525175349</v>
      </c>
      <c r="J37" s="698">
        <v>0.224442476936004</v>
      </c>
      <c r="K37" s="696">
        <v>2</v>
      </c>
      <c r="L37" s="695">
        <v>785.635188406941</v>
      </c>
      <c r="M37" s="696">
        <v>7</v>
      </c>
      <c r="N37" s="697">
        <v>0.0482407682741295</v>
      </c>
      <c r="O37" s="697">
        <v>0.0891597196956067</v>
      </c>
      <c r="P37" s="696">
        <v>1</v>
      </c>
      <c r="Q37" s="97">
        <f t="shared" si="2"/>
        <v>0.6</v>
      </c>
      <c r="R37" s="97">
        <f t="shared" si="3"/>
        <v>9.4</v>
      </c>
    </row>
    <row r="38" s="689" customFormat="1" ht="27" customHeight="1" spans="1:18">
      <c r="A38" s="90" t="s">
        <v>105</v>
      </c>
      <c r="B38" s="695">
        <v>5.3575</v>
      </c>
      <c r="C38" s="696">
        <v>17</v>
      </c>
      <c r="D38" s="697">
        <v>0.0014268470371771</v>
      </c>
      <c r="E38" s="698">
        <v>0.330229671011794</v>
      </c>
      <c r="F38" s="696">
        <v>3</v>
      </c>
      <c r="G38" s="695">
        <v>412.459584694399</v>
      </c>
      <c r="H38" s="696">
        <v>10</v>
      </c>
      <c r="I38" s="697">
        <v>0.0329153257243864</v>
      </c>
      <c r="J38" s="698">
        <v>0.00174629394280612</v>
      </c>
      <c r="K38" s="696">
        <v>11</v>
      </c>
      <c r="L38" s="695">
        <v>417.817084694399</v>
      </c>
      <c r="M38" s="696">
        <v>10</v>
      </c>
      <c r="N38" s="697">
        <v>0.0256554409236499</v>
      </c>
      <c r="O38" s="697">
        <v>0.00492827667226292</v>
      </c>
      <c r="P38" s="696">
        <v>12</v>
      </c>
      <c r="Q38" s="97">
        <f t="shared" si="2"/>
        <v>0.1</v>
      </c>
      <c r="R38" s="97">
        <f t="shared" si="3"/>
        <v>9.9</v>
      </c>
    </row>
    <row r="39" s="689" customFormat="1" ht="27" customHeight="1" spans="1:18">
      <c r="A39" s="90" t="s">
        <v>107</v>
      </c>
      <c r="B39" s="695">
        <v>28.1597</v>
      </c>
      <c r="C39" s="696">
        <v>14</v>
      </c>
      <c r="D39" s="697">
        <v>0.00749968912977991</v>
      </c>
      <c r="E39" s="698">
        <v>7.90960577105613</v>
      </c>
      <c r="F39" s="696">
        <v>1</v>
      </c>
      <c r="G39" s="695">
        <v>98.392296214032</v>
      </c>
      <c r="H39" s="696">
        <v>16</v>
      </c>
      <c r="I39" s="697">
        <v>0.00785195592206867</v>
      </c>
      <c r="J39" s="698">
        <v>-0.146988180035203</v>
      </c>
      <c r="K39" s="696">
        <v>17</v>
      </c>
      <c r="L39" s="695">
        <v>126.551996214032</v>
      </c>
      <c r="M39" s="696">
        <v>16</v>
      </c>
      <c r="N39" s="697">
        <v>0.00777073839623818</v>
      </c>
      <c r="O39" s="697">
        <v>0.0678814612194878</v>
      </c>
      <c r="P39" s="696">
        <v>2</v>
      </c>
      <c r="Q39" s="97">
        <f t="shared" si="2"/>
        <v>2.2</v>
      </c>
      <c r="R39" s="97">
        <f t="shared" si="3"/>
        <v>7.8</v>
      </c>
    </row>
    <row r="40" s="689" customFormat="1" ht="27" customHeight="1" spans="1:18">
      <c r="A40" s="90" t="s">
        <v>109</v>
      </c>
      <c r="B40" s="695">
        <v>36.9671</v>
      </c>
      <c r="C40" s="696">
        <v>13</v>
      </c>
      <c r="D40" s="697">
        <v>0.00984533777098076</v>
      </c>
      <c r="E40" s="698">
        <v>-0.0199576350944727</v>
      </c>
      <c r="F40" s="696">
        <v>10</v>
      </c>
      <c r="G40" s="695">
        <v>152.943625183625</v>
      </c>
      <c r="H40" s="696">
        <v>14</v>
      </c>
      <c r="I40" s="697">
        <v>0.0122052909598826</v>
      </c>
      <c r="J40" s="698">
        <v>0.004520752286298</v>
      </c>
      <c r="K40" s="696">
        <v>10</v>
      </c>
      <c r="L40" s="695">
        <v>189.910725183625</v>
      </c>
      <c r="M40" s="696">
        <v>15</v>
      </c>
      <c r="N40" s="697">
        <v>0.0116611875607712</v>
      </c>
      <c r="O40" s="697">
        <v>-0.000339472855832579</v>
      </c>
      <c r="P40" s="696">
        <v>15</v>
      </c>
      <c r="Q40" s="97">
        <f t="shared" si="2"/>
        <v>1.9</v>
      </c>
      <c r="R40" s="97">
        <f t="shared" si="3"/>
        <v>8.1</v>
      </c>
    </row>
    <row r="41" s="689" customFormat="1" ht="27" customHeight="1" spans="1:18">
      <c r="A41" s="90" t="s">
        <v>111</v>
      </c>
      <c r="B41" s="695">
        <v>46.9564</v>
      </c>
      <c r="C41" s="696">
        <v>12</v>
      </c>
      <c r="D41" s="697">
        <v>0.0125057583231923</v>
      </c>
      <c r="E41" s="698">
        <v>0.45045345590234</v>
      </c>
      <c r="F41" s="696">
        <v>2</v>
      </c>
      <c r="G41" s="695">
        <v>224.596743247571</v>
      </c>
      <c r="H41" s="696">
        <v>12</v>
      </c>
      <c r="I41" s="697">
        <v>0.0179233923394157</v>
      </c>
      <c r="J41" s="698">
        <v>-0.0432734999440801</v>
      </c>
      <c r="K41" s="696">
        <v>13</v>
      </c>
      <c r="L41" s="695">
        <v>271.553143247571</v>
      </c>
      <c r="M41" s="696">
        <v>13</v>
      </c>
      <c r="N41" s="697">
        <v>0.0166743196471135</v>
      </c>
      <c r="O41" s="697">
        <v>0.0165616996663225</v>
      </c>
      <c r="P41" s="696">
        <v>6</v>
      </c>
      <c r="Q41" s="97">
        <f t="shared" si="2"/>
        <v>1.7</v>
      </c>
      <c r="R41" s="97">
        <f t="shared" si="3"/>
        <v>8.3</v>
      </c>
    </row>
    <row r="42" s="689" customFormat="1" ht="27" customHeight="1" spans="1:18">
      <c r="A42" s="90" t="s">
        <v>112</v>
      </c>
      <c r="B42" s="695">
        <v>7.9012</v>
      </c>
      <c r="C42" s="696">
        <v>16</v>
      </c>
      <c r="D42" s="697">
        <v>0.00210430309102075</v>
      </c>
      <c r="E42" s="698">
        <v>-0.414522092876779</v>
      </c>
      <c r="F42" s="696">
        <v>16</v>
      </c>
      <c r="G42" s="695">
        <v>25.6706771760399</v>
      </c>
      <c r="H42" s="696">
        <v>17</v>
      </c>
      <c r="I42" s="697">
        <v>0.00204858544247668</v>
      </c>
      <c r="J42" s="698">
        <v>0.259905852811079</v>
      </c>
      <c r="K42" s="696">
        <v>1</v>
      </c>
      <c r="L42" s="695">
        <v>33.5718771760399</v>
      </c>
      <c r="M42" s="696">
        <v>17</v>
      </c>
      <c r="N42" s="697">
        <v>0.0020614315286219</v>
      </c>
      <c r="O42" s="697">
        <v>-0.00881296877397408</v>
      </c>
      <c r="P42" s="696">
        <v>16</v>
      </c>
      <c r="Q42" s="97">
        <f t="shared" si="2"/>
        <v>2.4</v>
      </c>
      <c r="R42" s="97">
        <f t="shared" si="3"/>
        <v>7.6</v>
      </c>
    </row>
  </sheetData>
  <mergeCells count="18">
    <mergeCell ref="A1:R1"/>
    <mergeCell ref="B2:D2"/>
    <mergeCell ref="E2:F2"/>
    <mergeCell ref="G2:I2"/>
    <mergeCell ref="J2:K2"/>
    <mergeCell ref="L2:N2"/>
    <mergeCell ref="O2:P2"/>
    <mergeCell ref="A22:R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topLeftCell="A4" workbookViewId="0">
      <selection activeCell="R2" sqref="R2"/>
    </sheetView>
  </sheetViews>
  <sheetFormatPr defaultColWidth="9" defaultRowHeight="14.4"/>
  <cols>
    <col min="1" max="1" width="7" style="16" customWidth="1"/>
    <col min="2" max="2" width="18.3333333333333" style="16" customWidth="1"/>
    <col min="3" max="3" width="7.44444444444444" style="16" customWidth="1"/>
    <col min="4" max="4" width="13" style="16" customWidth="1"/>
    <col min="5" max="5" width="11.1111111111111" style="16" customWidth="1"/>
    <col min="6" max="6" width="8.33333333333333" style="16" customWidth="1"/>
    <col min="7" max="7" width="18.3333333333333" style="16" customWidth="1"/>
    <col min="8" max="8" width="8.33333333333333" style="16" customWidth="1"/>
    <col min="9" max="9" width="12" style="16" customWidth="1"/>
    <col min="10" max="10" width="11.1111111111111" style="16" customWidth="1"/>
    <col min="11" max="11" width="7.88888888888889" style="16" customWidth="1"/>
    <col min="12" max="12" width="17.3333333333333" style="16" customWidth="1"/>
    <col min="13" max="13" width="8.11111111111111" style="16" customWidth="1"/>
    <col min="14" max="14" width="12" style="16" customWidth="1"/>
    <col min="15" max="15" width="10.6666666666667" style="16" customWidth="1"/>
    <col min="16" max="16" width="7.44444444444444" style="1" customWidth="1"/>
    <col min="17" max="17" width="10.1111111111111" style="1" customWidth="1"/>
    <col min="18" max="18" width="8.66666666666667" style="1" customWidth="1"/>
    <col min="19" max="19" width="17.1111111111111" style="16" customWidth="1"/>
  </cols>
  <sheetData>
    <row r="1" s="673" customFormat="1" ht="20.55" customHeight="1" spans="1:18">
      <c r="P1" s="676"/>
    </row>
    <row r="2" ht="22.2" customHeight="1" spans="1:18">
      <c r="A2" s="677" t="s">
        <v>141</v>
      </c>
    </row>
    <row r="3" s="674" customFormat="1" ht="19.95" customHeight="1" spans="1:18">
      <c r="A3" s="678" t="s">
        <v>114</v>
      </c>
      <c r="B3" s="124" t="s">
        <v>142</v>
      </c>
      <c r="C3" s="236"/>
      <c r="D3" s="139"/>
      <c r="E3" s="124" t="s">
        <v>116</v>
      </c>
      <c r="F3" s="238"/>
      <c r="G3" s="124" t="s">
        <v>143</v>
      </c>
      <c r="H3" s="236"/>
      <c r="I3" s="139"/>
      <c r="J3" s="124" t="s">
        <v>118</v>
      </c>
      <c r="K3" s="238"/>
      <c r="L3" s="124" t="s">
        <v>144</v>
      </c>
      <c r="M3" s="236"/>
      <c r="N3" s="139"/>
      <c r="O3" s="124" t="s">
        <v>120</v>
      </c>
      <c r="P3" s="238"/>
      <c r="Q3" s="124" t="s">
        <v>121</v>
      </c>
      <c r="R3" s="650"/>
    </row>
    <row r="4" s="232" customFormat="1" ht="34.05" customHeight="1" spans="1:18">
      <c r="A4" s="29"/>
      <c r="B4" s="124" t="s">
        <v>145</v>
      </c>
      <c r="C4" s="124" t="s">
        <v>123</v>
      </c>
      <c r="D4" s="124" t="s">
        <v>146</v>
      </c>
      <c r="E4" s="124" t="s">
        <v>12</v>
      </c>
      <c r="F4" s="124" t="s">
        <v>125</v>
      </c>
      <c r="G4" s="124" t="s">
        <v>145</v>
      </c>
      <c r="H4" s="124" t="s">
        <v>123</v>
      </c>
      <c r="I4" s="124" t="s">
        <v>124</v>
      </c>
      <c r="J4" s="124" t="s">
        <v>12</v>
      </c>
      <c r="K4" s="124" t="s">
        <v>126</v>
      </c>
      <c r="L4" s="124" t="s">
        <v>145</v>
      </c>
      <c r="M4" s="124" t="s">
        <v>123</v>
      </c>
      <c r="N4" s="124" t="s">
        <v>124</v>
      </c>
      <c r="O4" s="124" t="s">
        <v>12</v>
      </c>
      <c r="P4" s="124" t="s">
        <v>126</v>
      </c>
      <c r="Q4" s="679"/>
      <c r="R4" s="339"/>
    </row>
    <row r="5" s="232" customFormat="1" ht="27" customHeight="1" spans="1:18">
      <c r="A5" s="678" t="s">
        <v>80</v>
      </c>
      <c r="B5" s="680">
        <f>SUM(B6:B22)</f>
        <v>4357157.3388</v>
      </c>
      <c r="C5" s="681"/>
      <c r="D5" s="682"/>
      <c r="E5" s="683">
        <v>-0.0491597359403374</v>
      </c>
      <c r="F5" s="681"/>
      <c r="G5" s="680">
        <f>SUM(G6:G22)</f>
        <v>10864961.1075829</v>
      </c>
      <c r="H5" s="681"/>
      <c r="I5" s="682"/>
      <c r="J5" s="682">
        <v>0.0113258238091389</v>
      </c>
      <c r="K5" s="681"/>
      <c r="L5" s="680">
        <f>SUM(L6:L22)</f>
        <v>15222118.4463829</v>
      </c>
      <c r="M5" s="681"/>
      <c r="N5" s="682"/>
      <c r="O5" s="682">
        <v>-0.00675951704618472</v>
      </c>
      <c r="P5" s="681"/>
      <c r="Q5" s="97">
        <f t="shared" ref="Q5:Q22" si="0">ROUND(B5/L5*10,1)</f>
        <v>2.9</v>
      </c>
      <c r="R5" s="97">
        <f t="shared" ref="R5:R22" si="1">10-Q5</f>
        <v>7.1</v>
      </c>
    </row>
    <row r="6" s="232" customFormat="1" ht="27" customHeight="1" spans="1:18">
      <c r="A6" s="90" t="s">
        <v>127</v>
      </c>
      <c r="B6" s="684">
        <v>1440570.2872</v>
      </c>
      <c r="C6" s="125">
        <f t="shared" ref="C6:C22" si="2">RANK(B6,B$6:B$22)</f>
        <v>1</v>
      </c>
      <c r="D6" s="685">
        <f t="shared" ref="D6:D22" si="3">B6/B$5</f>
        <v>0.330621589992145</v>
      </c>
      <c r="E6" s="685">
        <v>-0.0676493105300842</v>
      </c>
      <c r="F6" s="125">
        <f t="shared" ref="F6:F22" si="4">RANK(E6,E$6:E$22)</f>
        <v>8</v>
      </c>
      <c r="G6" s="105">
        <v>3154959.2651622</v>
      </c>
      <c r="H6" s="125">
        <f t="shared" ref="H6:H22" si="5">RANK(G6,G$6:G$22)</f>
        <v>1</v>
      </c>
      <c r="I6" s="685">
        <f t="shared" ref="I6:I22" si="6">G6/G$5</f>
        <v>0.290379250686896</v>
      </c>
      <c r="J6" s="685">
        <v>0.0128610903993778</v>
      </c>
      <c r="K6" s="125">
        <f t="shared" ref="K6:K22" si="7">RANK(J6,J$6:J$22)</f>
        <v>12</v>
      </c>
      <c r="L6" s="105">
        <f t="shared" ref="L6:L22" si="8">G6+B6</f>
        <v>4595529.5523622</v>
      </c>
      <c r="M6" s="125">
        <f t="shared" ref="M6:M22" si="9">RANK(L6,L$6:L$22)</f>
        <v>1</v>
      </c>
      <c r="N6" s="685">
        <f t="shared" ref="N6:N22" si="10">L6/L$5</f>
        <v>0.301898160137769</v>
      </c>
      <c r="O6" s="685">
        <v>-0.0138334142241787</v>
      </c>
      <c r="P6" s="125">
        <f t="shared" ref="P6:P22" si="11">RANK(O6,O$6:O$22)</f>
        <v>12</v>
      </c>
      <c r="Q6" s="97">
        <f t="shared" si="0"/>
        <v>3.1</v>
      </c>
      <c r="R6" s="97">
        <f t="shared" si="1"/>
        <v>6.9</v>
      </c>
    </row>
    <row r="7" s="232" customFormat="1" ht="27" customHeight="1" spans="1:18">
      <c r="A7" s="90" t="s">
        <v>128</v>
      </c>
      <c r="B7" s="684">
        <v>118270.939</v>
      </c>
      <c r="C7" s="125">
        <f t="shared" si="2"/>
        <v>8</v>
      </c>
      <c r="D7" s="685">
        <f t="shared" si="3"/>
        <v>0.0271440597168274</v>
      </c>
      <c r="E7" s="685">
        <v>-0.161246835606836</v>
      </c>
      <c r="F7" s="125">
        <f t="shared" si="4"/>
        <v>12</v>
      </c>
      <c r="G7" s="105">
        <v>212234.179986608</v>
      </c>
      <c r="H7" s="125">
        <f t="shared" si="5"/>
        <v>11</v>
      </c>
      <c r="I7" s="685">
        <f t="shared" si="6"/>
        <v>0.0195338186566065</v>
      </c>
      <c r="J7" s="685">
        <v>0.114027706134397</v>
      </c>
      <c r="K7" s="125">
        <f t="shared" si="7"/>
        <v>3</v>
      </c>
      <c r="L7" s="105">
        <f t="shared" si="8"/>
        <v>330505.118986608</v>
      </c>
      <c r="M7" s="125">
        <f t="shared" si="9"/>
        <v>11</v>
      </c>
      <c r="N7" s="685">
        <f t="shared" si="10"/>
        <v>0.021712163136212</v>
      </c>
      <c r="O7" s="685">
        <v>-0.00305745579573391</v>
      </c>
      <c r="P7" s="125">
        <f t="shared" si="11"/>
        <v>8</v>
      </c>
      <c r="Q7" s="97">
        <f t="shared" si="0"/>
        <v>3.6</v>
      </c>
      <c r="R7" s="97">
        <f t="shared" si="1"/>
        <v>6.4</v>
      </c>
    </row>
    <row r="8" s="232" customFormat="1" ht="27" customHeight="1" spans="1:18">
      <c r="A8" s="90" t="s">
        <v>129</v>
      </c>
      <c r="B8" s="684">
        <v>27053.7853</v>
      </c>
      <c r="C8" s="125">
        <f t="shared" si="2"/>
        <v>13</v>
      </c>
      <c r="D8" s="685">
        <f t="shared" si="3"/>
        <v>0.00620904484194065</v>
      </c>
      <c r="E8" s="685">
        <v>-0.0725793237814142</v>
      </c>
      <c r="F8" s="125">
        <f t="shared" si="4"/>
        <v>9</v>
      </c>
      <c r="G8" s="105">
        <v>294297.788787879</v>
      </c>
      <c r="H8" s="125">
        <f t="shared" si="5"/>
        <v>9</v>
      </c>
      <c r="I8" s="685">
        <f t="shared" si="6"/>
        <v>0.0270868699734674</v>
      </c>
      <c r="J8" s="685">
        <v>0.0201498949634025</v>
      </c>
      <c r="K8" s="125">
        <f t="shared" si="7"/>
        <v>8</v>
      </c>
      <c r="L8" s="105">
        <f t="shared" si="8"/>
        <v>321351.574087879</v>
      </c>
      <c r="M8" s="125">
        <f t="shared" si="9"/>
        <v>12</v>
      </c>
      <c r="N8" s="685">
        <f t="shared" si="10"/>
        <v>0.0211108312696278</v>
      </c>
      <c r="O8" s="685">
        <v>0.0116343780900821</v>
      </c>
      <c r="P8" s="125">
        <f t="shared" si="11"/>
        <v>2</v>
      </c>
      <c r="Q8" s="97">
        <f t="shared" si="0"/>
        <v>0.8</v>
      </c>
      <c r="R8" s="97">
        <f t="shared" si="1"/>
        <v>9.2</v>
      </c>
    </row>
    <row r="9" s="232" customFormat="1" ht="27" customHeight="1" spans="1:18">
      <c r="A9" s="90" t="s">
        <v>130</v>
      </c>
      <c r="B9" s="684">
        <v>458198.9876</v>
      </c>
      <c r="C9" s="125">
        <f t="shared" si="2"/>
        <v>4</v>
      </c>
      <c r="D9" s="685">
        <f t="shared" si="3"/>
        <v>0.105160073867379</v>
      </c>
      <c r="E9" s="685">
        <v>0.0932075638277519</v>
      </c>
      <c r="F9" s="125">
        <f t="shared" si="4"/>
        <v>5</v>
      </c>
      <c r="G9" s="105">
        <v>356184.100308661</v>
      </c>
      <c r="H9" s="125">
        <f t="shared" si="5"/>
        <v>7</v>
      </c>
      <c r="I9" s="685">
        <f t="shared" si="6"/>
        <v>0.0327828233144867</v>
      </c>
      <c r="J9" s="685">
        <v>-0.114369335913131</v>
      </c>
      <c r="K9" s="125">
        <f t="shared" si="7"/>
        <v>15</v>
      </c>
      <c r="L9" s="105">
        <f t="shared" si="8"/>
        <v>814383.087908661</v>
      </c>
      <c r="M9" s="125">
        <f t="shared" si="9"/>
        <v>7</v>
      </c>
      <c r="N9" s="685">
        <f t="shared" si="10"/>
        <v>0.0534999836440094</v>
      </c>
      <c r="O9" s="685">
        <v>-0.00843876520223563</v>
      </c>
      <c r="P9" s="125">
        <f t="shared" si="11"/>
        <v>11</v>
      </c>
      <c r="Q9" s="97">
        <f t="shared" si="0"/>
        <v>5.6</v>
      </c>
      <c r="R9" s="97">
        <f t="shared" si="1"/>
        <v>4.4</v>
      </c>
    </row>
    <row r="10" s="232" customFormat="1" ht="27" customHeight="1" spans="1:18">
      <c r="A10" s="90" t="s">
        <v>131</v>
      </c>
      <c r="B10" s="684">
        <v>600237.6346</v>
      </c>
      <c r="C10" s="125">
        <f t="shared" si="2"/>
        <v>3</v>
      </c>
      <c r="D10" s="685">
        <f t="shared" si="3"/>
        <v>0.137758999257372</v>
      </c>
      <c r="E10" s="685">
        <v>-0.134892297963815</v>
      </c>
      <c r="F10" s="125">
        <f t="shared" si="4"/>
        <v>10</v>
      </c>
      <c r="G10" s="105">
        <v>2988571.050711</v>
      </c>
      <c r="H10" s="125">
        <f t="shared" si="5"/>
        <v>2</v>
      </c>
      <c r="I10" s="685">
        <f t="shared" si="6"/>
        <v>0.275065048196555</v>
      </c>
      <c r="J10" s="685">
        <v>0.0145273532989323</v>
      </c>
      <c r="K10" s="125">
        <f t="shared" si="7"/>
        <v>10</v>
      </c>
      <c r="L10" s="105">
        <f t="shared" si="8"/>
        <v>3588808.685311</v>
      </c>
      <c r="M10" s="125">
        <f t="shared" si="9"/>
        <v>2</v>
      </c>
      <c r="N10" s="685">
        <f t="shared" si="10"/>
        <v>0.235762761796389</v>
      </c>
      <c r="O10" s="685">
        <v>-0.0139569965043528</v>
      </c>
      <c r="P10" s="125">
        <f t="shared" si="11"/>
        <v>13</v>
      </c>
      <c r="Q10" s="97">
        <f t="shared" si="0"/>
        <v>1.7</v>
      </c>
      <c r="R10" s="97">
        <f t="shared" si="1"/>
        <v>8.3</v>
      </c>
    </row>
    <row r="11" s="232" customFormat="1" ht="27" customHeight="1" spans="1:18">
      <c r="A11" s="90" t="s">
        <v>132</v>
      </c>
      <c r="B11" s="684">
        <v>31715.6786</v>
      </c>
      <c r="C11" s="125">
        <f t="shared" si="2"/>
        <v>12</v>
      </c>
      <c r="D11" s="685">
        <f t="shared" si="3"/>
        <v>0.00727898401041785</v>
      </c>
      <c r="E11" s="685">
        <v>-0.485454034325093</v>
      </c>
      <c r="F11" s="125">
        <f t="shared" si="4"/>
        <v>15</v>
      </c>
      <c r="G11" s="105">
        <v>69717.685402024</v>
      </c>
      <c r="H11" s="125">
        <f t="shared" si="5"/>
        <v>16</v>
      </c>
      <c r="I11" s="685">
        <f t="shared" si="6"/>
        <v>0.00641674504967774</v>
      </c>
      <c r="J11" s="685">
        <v>0.530265329698598</v>
      </c>
      <c r="K11" s="125">
        <f t="shared" si="7"/>
        <v>1</v>
      </c>
      <c r="L11" s="105">
        <f t="shared" si="8"/>
        <v>101433.364002024</v>
      </c>
      <c r="M11" s="125">
        <f t="shared" si="9"/>
        <v>16</v>
      </c>
      <c r="N11" s="685">
        <f t="shared" si="10"/>
        <v>0.00666355109239913</v>
      </c>
      <c r="O11" s="685">
        <v>-0.0537702723690464</v>
      </c>
      <c r="P11" s="125">
        <f t="shared" si="11"/>
        <v>17</v>
      </c>
      <c r="Q11" s="97">
        <f t="shared" si="0"/>
        <v>3.1</v>
      </c>
      <c r="R11" s="97">
        <f t="shared" si="1"/>
        <v>6.9</v>
      </c>
    </row>
    <row r="12" s="232" customFormat="1" ht="27" customHeight="1" spans="1:18">
      <c r="A12" s="90" t="s">
        <v>133</v>
      </c>
      <c r="B12" s="684">
        <v>154638.9096</v>
      </c>
      <c r="C12" s="125">
        <f t="shared" si="2"/>
        <v>7</v>
      </c>
      <c r="D12" s="685">
        <f t="shared" si="3"/>
        <v>0.0354907793259972</v>
      </c>
      <c r="E12" s="685">
        <v>-0.141524772740314</v>
      </c>
      <c r="F12" s="125">
        <f t="shared" si="4"/>
        <v>11</v>
      </c>
      <c r="G12" s="105">
        <v>741188.96714843</v>
      </c>
      <c r="H12" s="125">
        <f t="shared" si="5"/>
        <v>5</v>
      </c>
      <c r="I12" s="685">
        <f t="shared" si="6"/>
        <v>0.0682182807475616</v>
      </c>
      <c r="J12" s="685">
        <v>0.0367831878519573</v>
      </c>
      <c r="K12" s="125">
        <f t="shared" si="7"/>
        <v>6</v>
      </c>
      <c r="L12" s="105">
        <f t="shared" si="8"/>
        <v>895827.87674843</v>
      </c>
      <c r="M12" s="125">
        <f t="shared" si="9"/>
        <v>4</v>
      </c>
      <c r="N12" s="685">
        <f t="shared" si="10"/>
        <v>0.0588504077079558</v>
      </c>
      <c r="O12" s="685">
        <v>0.000897061219111484</v>
      </c>
      <c r="P12" s="125">
        <f t="shared" si="11"/>
        <v>7</v>
      </c>
      <c r="Q12" s="97">
        <f t="shared" si="0"/>
        <v>1.7</v>
      </c>
      <c r="R12" s="97">
        <f t="shared" si="1"/>
        <v>8.3</v>
      </c>
    </row>
    <row r="13" s="232" customFormat="1" ht="27" customHeight="1" spans="1:18">
      <c r="A13" s="90" t="s">
        <v>134</v>
      </c>
      <c r="B13" s="684">
        <v>198074.3532</v>
      </c>
      <c r="C13" s="125">
        <f t="shared" si="2"/>
        <v>6</v>
      </c>
      <c r="D13" s="685">
        <f t="shared" si="3"/>
        <v>0.0454595365276737</v>
      </c>
      <c r="E13" s="685">
        <v>0.101236768458028</v>
      </c>
      <c r="F13" s="125">
        <f t="shared" si="4"/>
        <v>4</v>
      </c>
      <c r="G13" s="105">
        <v>145445.046270726</v>
      </c>
      <c r="H13" s="125">
        <f t="shared" si="5"/>
        <v>13</v>
      </c>
      <c r="I13" s="685">
        <f t="shared" si="6"/>
        <v>0.0133866145336881</v>
      </c>
      <c r="J13" s="685">
        <v>-0.15579270850651</v>
      </c>
      <c r="K13" s="125">
        <f t="shared" si="7"/>
        <v>16</v>
      </c>
      <c r="L13" s="105">
        <f t="shared" si="8"/>
        <v>343519.399470726</v>
      </c>
      <c r="M13" s="125">
        <f t="shared" si="9"/>
        <v>10</v>
      </c>
      <c r="N13" s="685">
        <f t="shared" si="10"/>
        <v>0.022567121697332</v>
      </c>
      <c r="O13" s="685">
        <v>-0.0245119206786121</v>
      </c>
      <c r="P13" s="125">
        <f t="shared" si="11"/>
        <v>16</v>
      </c>
      <c r="Q13" s="97">
        <f t="shared" si="0"/>
        <v>5.8</v>
      </c>
      <c r="R13" s="97">
        <f t="shared" si="1"/>
        <v>4.2</v>
      </c>
    </row>
    <row r="14" s="232" customFormat="1" ht="27" customHeight="1" spans="1:18">
      <c r="A14" s="90" t="s">
        <v>135</v>
      </c>
      <c r="B14" s="684">
        <v>378826.8889</v>
      </c>
      <c r="C14" s="125">
        <f t="shared" si="2"/>
        <v>5</v>
      </c>
      <c r="D14" s="685">
        <f t="shared" si="3"/>
        <v>0.0869435871701462</v>
      </c>
      <c r="E14" s="685">
        <v>0.0178964824825056</v>
      </c>
      <c r="F14" s="125">
        <f t="shared" si="4"/>
        <v>6</v>
      </c>
      <c r="G14" s="105">
        <v>757519.336380012</v>
      </c>
      <c r="H14" s="125">
        <f t="shared" si="5"/>
        <v>4</v>
      </c>
      <c r="I14" s="685">
        <f t="shared" si="6"/>
        <v>0.069721311367725</v>
      </c>
      <c r="J14" s="685">
        <v>0.0182278844466259</v>
      </c>
      <c r="K14" s="125">
        <f t="shared" si="7"/>
        <v>9</v>
      </c>
      <c r="L14" s="105">
        <f t="shared" si="8"/>
        <v>1136346.22528001</v>
      </c>
      <c r="M14" s="125">
        <f t="shared" si="9"/>
        <v>3</v>
      </c>
      <c r="N14" s="685">
        <f t="shared" si="10"/>
        <v>0.0746509908776875</v>
      </c>
      <c r="O14" s="685">
        <v>0.0181173800800638</v>
      </c>
      <c r="P14" s="125">
        <f t="shared" si="11"/>
        <v>1</v>
      </c>
      <c r="Q14" s="97">
        <f t="shared" si="0"/>
        <v>3.3</v>
      </c>
      <c r="R14" s="97">
        <f t="shared" si="1"/>
        <v>6.7</v>
      </c>
    </row>
    <row r="15" s="232" customFormat="1" ht="27" customHeight="1" spans="1:18">
      <c r="A15" s="90" t="s">
        <v>136</v>
      </c>
      <c r="B15" s="684">
        <v>655348.9665</v>
      </c>
      <c r="C15" s="125">
        <f t="shared" si="2"/>
        <v>2</v>
      </c>
      <c r="D15" s="685">
        <f t="shared" si="3"/>
        <v>0.150407459621481</v>
      </c>
      <c r="E15" s="685">
        <v>0.122932162654469</v>
      </c>
      <c r="F15" s="125">
        <f t="shared" si="4"/>
        <v>2</v>
      </c>
      <c r="G15" s="105">
        <v>224567.396064062</v>
      </c>
      <c r="H15" s="125">
        <f t="shared" si="5"/>
        <v>10</v>
      </c>
      <c r="I15" s="685">
        <f t="shared" si="6"/>
        <v>0.0206689553547809</v>
      </c>
      <c r="J15" s="685">
        <v>-0.226638901506225</v>
      </c>
      <c r="K15" s="125">
        <f t="shared" si="7"/>
        <v>17</v>
      </c>
      <c r="L15" s="105">
        <f t="shared" si="8"/>
        <v>879916.362564062</v>
      </c>
      <c r="M15" s="125">
        <f t="shared" si="9"/>
        <v>5</v>
      </c>
      <c r="N15" s="685">
        <f t="shared" si="10"/>
        <v>0.0578051186280939</v>
      </c>
      <c r="O15" s="685">
        <v>0.00678821414541853</v>
      </c>
      <c r="P15" s="125">
        <f t="shared" si="11"/>
        <v>4</v>
      </c>
      <c r="Q15" s="97">
        <f t="shared" si="0"/>
        <v>7.4</v>
      </c>
      <c r="R15" s="97">
        <f t="shared" si="1"/>
        <v>2.6</v>
      </c>
    </row>
    <row r="16" s="232" customFormat="1" ht="27" customHeight="1" spans="1:18">
      <c r="A16" s="90" t="s">
        <v>137</v>
      </c>
      <c r="B16" s="684">
        <v>75919.0518</v>
      </c>
      <c r="C16" s="125">
        <f t="shared" si="2"/>
        <v>11</v>
      </c>
      <c r="D16" s="685">
        <f t="shared" si="3"/>
        <v>0.0174239867640191</v>
      </c>
      <c r="E16" s="685">
        <v>-0.03381078346251</v>
      </c>
      <c r="F16" s="125">
        <f t="shared" si="4"/>
        <v>7</v>
      </c>
      <c r="G16" s="105">
        <v>294691.464627044</v>
      </c>
      <c r="H16" s="125">
        <f t="shared" si="5"/>
        <v>8</v>
      </c>
      <c r="I16" s="685">
        <f t="shared" si="6"/>
        <v>0.0271231034983983</v>
      </c>
      <c r="J16" s="685">
        <v>0.0142244778671736</v>
      </c>
      <c r="K16" s="125">
        <f t="shared" si="7"/>
        <v>11</v>
      </c>
      <c r="L16" s="105">
        <f t="shared" si="8"/>
        <v>370610.516427044</v>
      </c>
      <c r="M16" s="125">
        <f t="shared" si="9"/>
        <v>9</v>
      </c>
      <c r="N16" s="685">
        <f t="shared" si="10"/>
        <v>0.0243468422435714</v>
      </c>
      <c r="O16" s="685">
        <v>0.00399945039921956</v>
      </c>
      <c r="P16" s="125">
        <f t="shared" si="11"/>
        <v>5</v>
      </c>
      <c r="Q16" s="97">
        <f t="shared" si="0"/>
        <v>2</v>
      </c>
      <c r="R16" s="97">
        <f t="shared" si="1"/>
        <v>8</v>
      </c>
    </row>
    <row r="17" s="232" customFormat="1" ht="27" customHeight="1" spans="1:18">
      <c r="A17" s="90" t="s">
        <v>138</v>
      </c>
      <c r="B17" s="684">
        <v>78290.146</v>
      </c>
      <c r="C17" s="125">
        <f t="shared" si="2"/>
        <v>10</v>
      </c>
      <c r="D17" s="685">
        <f t="shared" si="3"/>
        <v>0.0179681705094363</v>
      </c>
      <c r="E17" s="685">
        <v>-0.455013406415484</v>
      </c>
      <c r="F17" s="125">
        <f t="shared" si="4"/>
        <v>14</v>
      </c>
      <c r="G17" s="105">
        <v>767259.576355603</v>
      </c>
      <c r="H17" s="125">
        <f t="shared" si="5"/>
        <v>3</v>
      </c>
      <c r="I17" s="685">
        <f t="shared" si="6"/>
        <v>0.0706177931755423</v>
      </c>
      <c r="J17" s="685">
        <v>0.108149190758968</v>
      </c>
      <c r="K17" s="125">
        <f t="shared" si="7"/>
        <v>4</v>
      </c>
      <c r="L17" s="105">
        <f t="shared" si="8"/>
        <v>845549.722355603</v>
      </c>
      <c r="M17" s="125">
        <f t="shared" si="9"/>
        <v>6</v>
      </c>
      <c r="N17" s="685">
        <f t="shared" si="10"/>
        <v>0.055547440741175</v>
      </c>
      <c r="O17" s="685">
        <v>0.0113813853225266</v>
      </c>
      <c r="P17" s="125">
        <f t="shared" si="11"/>
        <v>3</v>
      </c>
      <c r="Q17" s="97">
        <f t="shared" si="0"/>
        <v>0.9</v>
      </c>
      <c r="R17" s="97">
        <f t="shared" si="1"/>
        <v>9.1</v>
      </c>
    </row>
    <row r="18" s="232" customFormat="1" ht="27" customHeight="1" spans="1:18">
      <c r="A18" s="90" t="s">
        <v>147</v>
      </c>
      <c r="B18" s="684">
        <v>5303.5909</v>
      </c>
      <c r="C18" s="125">
        <f t="shared" si="2"/>
        <v>16</v>
      </c>
      <c r="D18" s="685">
        <f t="shared" si="3"/>
        <v>0.00121721353800381</v>
      </c>
      <c r="E18" s="685">
        <v>0.418414179951218</v>
      </c>
      <c r="F18" s="125">
        <f t="shared" si="4"/>
        <v>1</v>
      </c>
      <c r="G18" s="105">
        <v>401579.968790744</v>
      </c>
      <c r="H18" s="125">
        <f t="shared" si="5"/>
        <v>6</v>
      </c>
      <c r="I18" s="685">
        <f t="shared" si="6"/>
        <v>0.0369610130044986</v>
      </c>
      <c r="J18" s="685">
        <v>-0.0179182662163655</v>
      </c>
      <c r="K18" s="125">
        <f t="shared" si="7"/>
        <v>13</v>
      </c>
      <c r="L18" s="105">
        <f t="shared" si="8"/>
        <v>406883.559690744</v>
      </c>
      <c r="M18" s="125">
        <f t="shared" si="9"/>
        <v>8</v>
      </c>
      <c r="N18" s="685">
        <f t="shared" si="10"/>
        <v>0.0267297591412073</v>
      </c>
      <c r="O18" s="685">
        <v>-0.013964537624169</v>
      </c>
      <c r="P18" s="125">
        <f t="shared" si="11"/>
        <v>14</v>
      </c>
      <c r="Q18" s="97">
        <f t="shared" si="0"/>
        <v>0.1</v>
      </c>
      <c r="R18" s="97">
        <f t="shared" si="1"/>
        <v>9.9</v>
      </c>
    </row>
    <row r="19" s="232" customFormat="1" ht="27" customHeight="1" spans="1:18">
      <c r="A19" s="90" t="s">
        <v>107</v>
      </c>
      <c r="B19" s="684">
        <v>8659.0083</v>
      </c>
      <c r="C19" s="125">
        <f t="shared" si="2"/>
        <v>15</v>
      </c>
      <c r="D19" s="685">
        <f t="shared" si="3"/>
        <v>0.00198730677519779</v>
      </c>
      <c r="E19" s="685">
        <v>-0.261704710338191</v>
      </c>
      <c r="F19" s="125">
        <f t="shared" si="4"/>
        <v>13</v>
      </c>
      <c r="G19" s="105">
        <v>115286.99005689</v>
      </c>
      <c r="H19" s="125">
        <f t="shared" si="5"/>
        <v>15</v>
      </c>
      <c r="I19" s="685">
        <f t="shared" si="6"/>
        <v>0.0106108976291161</v>
      </c>
      <c r="J19" s="685">
        <v>0.022660781754136</v>
      </c>
      <c r="K19" s="125">
        <f t="shared" si="7"/>
        <v>7</v>
      </c>
      <c r="L19" s="105">
        <f t="shared" si="8"/>
        <v>123945.99835689</v>
      </c>
      <c r="M19" s="125">
        <f t="shared" si="9"/>
        <v>15</v>
      </c>
      <c r="N19" s="685">
        <f t="shared" si="10"/>
        <v>0.00814249335882299</v>
      </c>
      <c r="O19" s="685">
        <v>-0.0041359901265644</v>
      </c>
      <c r="P19" s="125">
        <f t="shared" si="11"/>
        <v>9</v>
      </c>
      <c r="Q19" s="97">
        <f t="shared" si="0"/>
        <v>0.7</v>
      </c>
      <c r="R19" s="97">
        <f t="shared" si="1"/>
        <v>9.3</v>
      </c>
    </row>
    <row r="20" s="232" customFormat="1" ht="27" customHeight="1" spans="1:18">
      <c r="A20" s="90" t="s">
        <v>109</v>
      </c>
      <c r="B20" s="684">
        <v>104845.4073</v>
      </c>
      <c r="C20" s="125">
        <f t="shared" si="2"/>
        <v>9</v>
      </c>
      <c r="D20" s="685">
        <f t="shared" si="3"/>
        <v>0.024062800387391</v>
      </c>
      <c r="E20" s="685">
        <v>0.119000000166497</v>
      </c>
      <c r="F20" s="125">
        <f t="shared" si="4"/>
        <v>3</v>
      </c>
      <c r="G20" s="105">
        <v>123192.575713106</v>
      </c>
      <c r="H20" s="125">
        <f t="shared" si="5"/>
        <v>14</v>
      </c>
      <c r="I20" s="685">
        <f t="shared" si="6"/>
        <v>0.01133851971427</v>
      </c>
      <c r="J20" s="685">
        <v>-0.0787468155055359</v>
      </c>
      <c r="K20" s="125">
        <f t="shared" si="7"/>
        <v>14</v>
      </c>
      <c r="L20" s="105">
        <f t="shared" si="8"/>
        <v>228037.983013106</v>
      </c>
      <c r="M20" s="125">
        <f t="shared" si="9"/>
        <v>13</v>
      </c>
      <c r="N20" s="685">
        <f t="shared" si="10"/>
        <v>0.0149806995535035</v>
      </c>
      <c r="O20" s="685">
        <v>0.00272419981228555</v>
      </c>
      <c r="P20" s="125">
        <f t="shared" si="11"/>
        <v>6</v>
      </c>
      <c r="Q20" s="97">
        <f t="shared" si="0"/>
        <v>4.6</v>
      </c>
      <c r="R20" s="97">
        <f t="shared" si="1"/>
        <v>5.4</v>
      </c>
    </row>
    <row r="21" s="232" customFormat="1" ht="27" customHeight="1" spans="1:18">
      <c r="A21" s="90" t="s">
        <v>111</v>
      </c>
      <c r="B21" s="684">
        <v>19104.5261</v>
      </c>
      <c r="C21" s="125">
        <f t="shared" si="2"/>
        <v>14</v>
      </c>
      <c r="D21" s="685">
        <f t="shared" si="3"/>
        <v>0.00438463076140867</v>
      </c>
      <c r="E21" s="685">
        <v>-0.507525496105808</v>
      </c>
      <c r="F21" s="125">
        <f t="shared" si="4"/>
        <v>16</v>
      </c>
      <c r="G21" s="105">
        <v>205488.800686264</v>
      </c>
      <c r="H21" s="125">
        <f t="shared" si="5"/>
        <v>12</v>
      </c>
      <c r="I21" s="685">
        <f t="shared" si="6"/>
        <v>0.0189129807876485</v>
      </c>
      <c r="J21" s="685">
        <v>0.0955612582006111</v>
      </c>
      <c r="K21" s="125">
        <f t="shared" si="7"/>
        <v>5</v>
      </c>
      <c r="L21" s="105">
        <f t="shared" si="8"/>
        <v>224593.326786264</v>
      </c>
      <c r="M21" s="125">
        <f t="shared" si="9"/>
        <v>14</v>
      </c>
      <c r="N21" s="685">
        <f t="shared" si="10"/>
        <v>0.0147544067258018</v>
      </c>
      <c r="O21" s="685">
        <v>-0.00779501999950538</v>
      </c>
      <c r="P21" s="125">
        <f t="shared" si="11"/>
        <v>10</v>
      </c>
      <c r="Q21" s="97">
        <f t="shared" si="0"/>
        <v>0.9</v>
      </c>
      <c r="R21" s="97">
        <f t="shared" si="1"/>
        <v>9.1</v>
      </c>
    </row>
    <row r="22" s="232" customFormat="1" ht="27" customHeight="1" spans="1:18">
      <c r="A22" s="90" t="s">
        <v>112</v>
      </c>
      <c r="B22" s="684">
        <v>2099.1779</v>
      </c>
      <c r="C22" s="125">
        <f t="shared" si="2"/>
        <v>17</v>
      </c>
      <c r="D22" s="685">
        <f t="shared" si="3"/>
        <v>0.000481776933163982</v>
      </c>
      <c r="E22" s="685">
        <v>-0.681829517119221</v>
      </c>
      <c r="F22" s="125">
        <f t="shared" si="4"/>
        <v>17</v>
      </c>
      <c r="G22" s="105">
        <v>12776.9151316832</v>
      </c>
      <c r="H22" s="125">
        <f t="shared" si="5"/>
        <v>17</v>
      </c>
      <c r="I22" s="685">
        <f t="shared" si="6"/>
        <v>0.00117597430908113</v>
      </c>
      <c r="J22" s="685">
        <v>0.50441033779553</v>
      </c>
      <c r="K22" s="125">
        <f t="shared" si="7"/>
        <v>2</v>
      </c>
      <c r="L22" s="105">
        <f t="shared" si="8"/>
        <v>14876.0930316832</v>
      </c>
      <c r="M22" s="125">
        <f t="shared" si="9"/>
        <v>17</v>
      </c>
      <c r="N22" s="685">
        <f t="shared" si="10"/>
        <v>0.00097726824844265</v>
      </c>
      <c r="O22" s="685">
        <v>-0.0142161415058555</v>
      </c>
      <c r="P22" s="125">
        <f t="shared" si="11"/>
        <v>15</v>
      </c>
      <c r="Q22" s="97">
        <f t="shared" si="0"/>
        <v>1.4</v>
      </c>
      <c r="R22" s="97">
        <f t="shared" si="1"/>
        <v>8.6</v>
      </c>
    </row>
    <row r="23" s="675" customFormat="1" ht="27" customHeight="1" spans="1:18">
      <c r="A23" s="686"/>
      <c r="B23" s="686"/>
      <c r="C23" s="687"/>
      <c r="D23" s="688"/>
      <c r="E23" s="688"/>
      <c r="F23" s="687"/>
      <c r="G23" s="686"/>
      <c r="H23" s="687"/>
      <c r="I23" s="688"/>
      <c r="J23" s="688"/>
      <c r="K23" s="687"/>
      <c r="L23" s="686"/>
      <c r="M23" s="687"/>
      <c r="N23" s="688"/>
      <c r="O23" s="688"/>
      <c r="P23" s="676"/>
      <c r="Q23" s="686"/>
      <c r="R23" s="686"/>
    </row>
    <row r="24" s="675" customFormat="1" ht="19.95" customHeight="1" spans="1:18">
      <c r="A24" s="677" t="s">
        <v>148</v>
      </c>
      <c r="Q24" s="5"/>
      <c r="R24" s="5"/>
    </row>
    <row r="25" s="675" customFormat="1" ht="19.95" customHeight="1" spans="1:18">
      <c r="A25" s="678" t="s">
        <v>114</v>
      </c>
      <c r="B25" s="124" t="s">
        <v>142</v>
      </c>
      <c r="C25" s="236"/>
      <c r="D25" s="139"/>
      <c r="E25" s="124" t="s">
        <v>116</v>
      </c>
      <c r="F25" s="238"/>
      <c r="G25" s="124" t="s">
        <v>143</v>
      </c>
      <c r="H25" s="236"/>
      <c r="I25" s="139"/>
      <c r="J25" s="124" t="s">
        <v>118</v>
      </c>
      <c r="K25" s="238"/>
      <c r="L25" s="124" t="s">
        <v>144</v>
      </c>
      <c r="M25" s="236"/>
      <c r="N25" s="139"/>
      <c r="O25" s="124" t="s">
        <v>120</v>
      </c>
      <c r="P25" s="238"/>
      <c r="Q25" s="124" t="s">
        <v>121</v>
      </c>
      <c r="R25" s="650"/>
    </row>
    <row r="26" s="675" customFormat="1" ht="34.05" customHeight="1" spans="1:18">
      <c r="A26" s="29"/>
      <c r="B26" s="124" t="s">
        <v>149</v>
      </c>
      <c r="C26" s="124" t="s">
        <v>123</v>
      </c>
      <c r="D26" s="124" t="s">
        <v>146</v>
      </c>
      <c r="E26" s="124" t="s">
        <v>12</v>
      </c>
      <c r="F26" s="124" t="s">
        <v>125</v>
      </c>
      <c r="G26" s="124" t="s">
        <v>149</v>
      </c>
      <c r="H26" s="124" t="s">
        <v>123</v>
      </c>
      <c r="I26" s="124" t="s">
        <v>124</v>
      </c>
      <c r="J26" s="124" t="s">
        <v>12</v>
      </c>
      <c r="K26" s="124" t="s">
        <v>126</v>
      </c>
      <c r="L26" s="124" t="s">
        <v>149</v>
      </c>
      <c r="M26" s="124" t="s">
        <v>123</v>
      </c>
      <c r="N26" s="124" t="s">
        <v>124</v>
      </c>
      <c r="O26" s="124" t="s">
        <v>12</v>
      </c>
      <c r="P26" s="124" t="s">
        <v>126</v>
      </c>
      <c r="Q26" s="679"/>
      <c r="R26" s="339"/>
    </row>
    <row r="27" s="675" customFormat="1" ht="27" customHeight="1" spans="1:18">
      <c r="A27" s="678" t="s">
        <v>80</v>
      </c>
      <c r="B27" s="680">
        <f>SUM(B28:B44)</f>
        <v>597278.6371</v>
      </c>
      <c r="C27" s="681"/>
      <c r="D27" s="682"/>
      <c r="E27" s="683">
        <v>0.0576220203764746</v>
      </c>
      <c r="F27" s="681"/>
      <c r="G27" s="680">
        <f>SUM(G28:G44)</f>
        <v>1584647.07107071</v>
      </c>
      <c r="H27" s="681"/>
      <c r="I27" s="682"/>
      <c r="J27" s="682">
        <v>-0.0111214832992064</v>
      </c>
      <c r="K27" s="681"/>
      <c r="L27" s="680">
        <f>SUM(L28:L44)</f>
        <v>2181925.70817071</v>
      </c>
      <c r="M27" s="681"/>
      <c r="N27" s="682"/>
      <c r="O27" s="682">
        <v>0.00679191238952792</v>
      </c>
      <c r="P27" s="681"/>
      <c r="Q27" s="97">
        <f t="shared" ref="Q27:Q44" si="12">ROUND(B27/L27*10,1)</f>
        <v>2.7</v>
      </c>
      <c r="R27" s="97">
        <f t="shared" ref="R27:R44" si="13">10-Q27</f>
        <v>7.3</v>
      </c>
    </row>
    <row r="28" s="232" customFormat="1" ht="27" customHeight="1" spans="1:18">
      <c r="A28" s="90" t="s">
        <v>127</v>
      </c>
      <c r="B28" s="684">
        <v>204809.5633</v>
      </c>
      <c r="C28" s="125">
        <f t="shared" ref="C28:C44" si="14">RANK(B28,B$28:B$44)</f>
        <v>1</v>
      </c>
      <c r="D28" s="685">
        <f t="shared" ref="D28:D44" si="15">B28/B$27</f>
        <v>0.342904551708769</v>
      </c>
      <c r="E28" s="685">
        <v>0.22325108649159</v>
      </c>
      <c r="F28" s="125">
        <f t="shared" ref="F28:F44" si="16">RANK(E28,E$28:E$44)</f>
        <v>3</v>
      </c>
      <c r="G28" s="105">
        <v>462751.8105886</v>
      </c>
      <c r="H28" s="125">
        <f t="shared" ref="H28:H44" si="17">RANK(G28,G$28:G$44)</f>
        <v>1</v>
      </c>
      <c r="I28" s="685">
        <f t="shared" ref="I28:I44" si="18">G28/G$27</f>
        <v>0.292022002272045</v>
      </c>
      <c r="J28" s="685">
        <v>-0.0652903897474102</v>
      </c>
      <c r="K28" s="125">
        <f t="shared" ref="K28:K44" si="19">RANK(J28,J$28:J$44)</f>
        <v>16</v>
      </c>
      <c r="L28" s="105">
        <v>667561.3738886</v>
      </c>
      <c r="M28" s="125">
        <f t="shared" ref="M28:M44" si="20">RANK(L28,L$28:L$44)</f>
        <v>1</v>
      </c>
      <c r="N28" s="685">
        <f t="shared" ref="N28:N44" si="21">L28/L$27</f>
        <v>0.305950551564963</v>
      </c>
      <c r="O28" s="685">
        <v>0.00763068401314793</v>
      </c>
      <c r="P28" s="125">
        <f t="shared" ref="P28:P44" si="22">RANK(O28,O$28:O$44)</f>
        <v>5</v>
      </c>
      <c r="Q28" s="97">
        <f t="shared" si="12"/>
        <v>3.1</v>
      </c>
      <c r="R28" s="97">
        <f t="shared" si="13"/>
        <v>6.9</v>
      </c>
    </row>
    <row r="29" s="232" customFormat="1" ht="27" customHeight="1" spans="1:18">
      <c r="A29" s="90" t="s">
        <v>128</v>
      </c>
      <c r="B29" s="684">
        <v>15366.3263</v>
      </c>
      <c r="C29" s="125">
        <f t="shared" si="14"/>
        <v>8</v>
      </c>
      <c r="D29" s="685">
        <f t="shared" si="15"/>
        <v>0.025727232392923</v>
      </c>
      <c r="E29" s="685">
        <v>0.103059259771214</v>
      </c>
      <c r="F29" s="125">
        <f t="shared" si="16"/>
        <v>5</v>
      </c>
      <c r="G29" s="105">
        <v>31212.6786205715</v>
      </c>
      <c r="H29" s="125">
        <f t="shared" si="17"/>
        <v>11</v>
      </c>
      <c r="I29" s="685">
        <f t="shared" si="18"/>
        <v>0.0196969275937776</v>
      </c>
      <c r="J29" s="685">
        <v>-0.0130205316309917</v>
      </c>
      <c r="K29" s="125">
        <f t="shared" si="19"/>
        <v>12</v>
      </c>
      <c r="L29" s="105">
        <v>46579.0049205715</v>
      </c>
      <c r="M29" s="125">
        <f t="shared" si="20"/>
        <v>11</v>
      </c>
      <c r="N29" s="685">
        <f t="shared" si="21"/>
        <v>0.0213476585138284</v>
      </c>
      <c r="O29" s="685">
        <v>0.0224764082701436</v>
      </c>
      <c r="P29" s="125">
        <f t="shared" si="22"/>
        <v>3</v>
      </c>
      <c r="Q29" s="97">
        <f t="shared" si="12"/>
        <v>3.3</v>
      </c>
      <c r="R29" s="97">
        <f t="shared" si="13"/>
        <v>6.7</v>
      </c>
    </row>
    <row r="30" s="232" customFormat="1" ht="27" customHeight="1" spans="1:18">
      <c r="A30" s="90" t="s">
        <v>129</v>
      </c>
      <c r="B30" s="684">
        <v>3944.1367</v>
      </c>
      <c r="C30" s="125">
        <f t="shared" si="14"/>
        <v>12</v>
      </c>
      <c r="D30" s="685">
        <f t="shared" si="15"/>
        <v>0.00660351208801002</v>
      </c>
      <c r="E30" s="685">
        <v>-0.0531375710296258</v>
      </c>
      <c r="F30" s="125">
        <f t="shared" si="16"/>
        <v>10</v>
      </c>
      <c r="G30" s="105">
        <v>39964.7001225006</v>
      </c>
      <c r="H30" s="125">
        <f t="shared" si="17"/>
        <v>9</v>
      </c>
      <c r="I30" s="685">
        <f t="shared" si="18"/>
        <v>0.025219937519272</v>
      </c>
      <c r="J30" s="685">
        <v>0.011378165075018</v>
      </c>
      <c r="K30" s="125">
        <f t="shared" si="19"/>
        <v>6</v>
      </c>
      <c r="L30" s="105">
        <v>43908.8368225006</v>
      </c>
      <c r="M30" s="125">
        <f t="shared" si="20"/>
        <v>12</v>
      </c>
      <c r="N30" s="685">
        <f t="shared" si="21"/>
        <v>0.020123891779667</v>
      </c>
      <c r="O30" s="685">
        <v>0.00522579539226453</v>
      </c>
      <c r="P30" s="125">
        <f t="shared" si="22"/>
        <v>7</v>
      </c>
      <c r="Q30" s="97">
        <f t="shared" si="12"/>
        <v>0.9</v>
      </c>
      <c r="R30" s="97">
        <f t="shared" si="13"/>
        <v>9.1</v>
      </c>
    </row>
    <row r="31" s="232" customFormat="1" ht="27" customHeight="1" spans="1:18">
      <c r="A31" s="90" t="s">
        <v>130</v>
      </c>
      <c r="B31" s="684">
        <v>63308.348</v>
      </c>
      <c r="C31" s="125">
        <f t="shared" si="14"/>
        <v>4</v>
      </c>
      <c r="D31" s="685">
        <f t="shared" si="15"/>
        <v>0.105994663240233</v>
      </c>
      <c r="E31" s="685">
        <v>0.249010011416794</v>
      </c>
      <c r="F31" s="125">
        <f t="shared" si="16"/>
        <v>2</v>
      </c>
      <c r="G31" s="105">
        <v>55295.4608130783</v>
      </c>
      <c r="H31" s="125">
        <f t="shared" si="17"/>
        <v>7</v>
      </c>
      <c r="I31" s="685">
        <f t="shared" si="18"/>
        <v>0.0348944959559459</v>
      </c>
      <c r="J31" s="685">
        <v>-0.159807297024957</v>
      </c>
      <c r="K31" s="125">
        <f t="shared" si="19"/>
        <v>17</v>
      </c>
      <c r="L31" s="105">
        <v>118603.808813078</v>
      </c>
      <c r="M31" s="125">
        <f t="shared" si="20"/>
        <v>6</v>
      </c>
      <c r="N31" s="685">
        <f t="shared" si="21"/>
        <v>0.0543574001483826</v>
      </c>
      <c r="O31" s="685">
        <v>0.0180614733331657</v>
      </c>
      <c r="P31" s="125">
        <f t="shared" si="22"/>
        <v>4</v>
      </c>
      <c r="Q31" s="97">
        <f t="shared" si="12"/>
        <v>5.3</v>
      </c>
      <c r="R31" s="97">
        <f t="shared" si="13"/>
        <v>4.7</v>
      </c>
    </row>
    <row r="32" s="232" customFormat="1" ht="27" customHeight="1" spans="1:18">
      <c r="A32" s="90" t="s">
        <v>131</v>
      </c>
      <c r="B32" s="684">
        <v>100128.6911</v>
      </c>
      <c r="C32" s="125">
        <f t="shared" si="14"/>
        <v>2</v>
      </c>
      <c r="D32" s="685">
        <f t="shared" si="15"/>
        <v>0.167641507464858</v>
      </c>
      <c r="E32" s="685">
        <v>-0.00707207359988593</v>
      </c>
      <c r="F32" s="125">
        <f t="shared" si="16"/>
        <v>8</v>
      </c>
      <c r="G32" s="105">
        <v>421583.946976994</v>
      </c>
      <c r="H32" s="125">
        <f t="shared" si="17"/>
        <v>2</v>
      </c>
      <c r="I32" s="685">
        <f t="shared" si="18"/>
        <v>0.266042802005206</v>
      </c>
      <c r="J32" s="685">
        <v>0.0098486869339125</v>
      </c>
      <c r="K32" s="125">
        <f t="shared" si="19"/>
        <v>9</v>
      </c>
      <c r="L32" s="105">
        <v>521712.638076994</v>
      </c>
      <c r="M32" s="125">
        <f t="shared" si="20"/>
        <v>2</v>
      </c>
      <c r="N32" s="685">
        <f t="shared" si="21"/>
        <v>0.239106508587036</v>
      </c>
      <c r="O32" s="685">
        <v>0.00655662839931481</v>
      </c>
      <c r="P32" s="125">
        <f t="shared" si="22"/>
        <v>6</v>
      </c>
      <c r="Q32" s="97">
        <f t="shared" si="12"/>
        <v>1.9</v>
      </c>
      <c r="R32" s="97">
        <f t="shared" si="13"/>
        <v>8.1</v>
      </c>
    </row>
    <row r="33" s="232" customFormat="1" ht="27" customHeight="1" spans="1:18">
      <c r="A33" s="90" t="s">
        <v>132</v>
      </c>
      <c r="B33" s="684">
        <v>1218.075</v>
      </c>
      <c r="C33" s="125">
        <f t="shared" si="14"/>
        <v>15</v>
      </c>
      <c r="D33" s="685">
        <f t="shared" si="15"/>
        <v>0.00203937479819166</v>
      </c>
      <c r="E33" s="685">
        <v>-0.610097844050661</v>
      </c>
      <c r="F33" s="125">
        <f t="shared" si="16"/>
        <v>15</v>
      </c>
      <c r="G33" s="105">
        <v>11561.2564252366</v>
      </c>
      <c r="H33" s="125">
        <f t="shared" si="17"/>
        <v>16</v>
      </c>
      <c r="I33" s="685">
        <f t="shared" si="18"/>
        <v>0.00729579263187287</v>
      </c>
      <c r="J33" s="685">
        <v>0.152036900057898</v>
      </c>
      <c r="K33" s="125">
        <f t="shared" si="19"/>
        <v>3</v>
      </c>
      <c r="L33" s="105">
        <v>12779.3314252366</v>
      </c>
      <c r="M33" s="125">
        <f t="shared" si="20"/>
        <v>16</v>
      </c>
      <c r="N33" s="685">
        <f t="shared" si="21"/>
        <v>0.00585690492457261</v>
      </c>
      <c r="O33" s="685">
        <v>-0.028892565117692</v>
      </c>
      <c r="P33" s="125">
        <f t="shared" si="22"/>
        <v>15</v>
      </c>
      <c r="Q33" s="97">
        <f t="shared" si="12"/>
        <v>1</v>
      </c>
      <c r="R33" s="97">
        <f t="shared" si="13"/>
        <v>9</v>
      </c>
    </row>
    <row r="34" s="232" customFormat="1" ht="27" customHeight="1" spans="1:18">
      <c r="A34" s="90" t="s">
        <v>133</v>
      </c>
      <c r="B34" s="684">
        <v>23761.1614</v>
      </c>
      <c r="C34" s="125">
        <f t="shared" si="14"/>
        <v>7</v>
      </c>
      <c r="D34" s="685">
        <f t="shared" si="15"/>
        <v>0.0397823727889698</v>
      </c>
      <c r="E34" s="685">
        <v>-0.101204482213362</v>
      </c>
      <c r="F34" s="125">
        <f t="shared" si="16"/>
        <v>12</v>
      </c>
      <c r="G34" s="105">
        <v>106773.18795039</v>
      </c>
      <c r="H34" s="125">
        <f t="shared" si="17"/>
        <v>5</v>
      </c>
      <c r="I34" s="685">
        <f t="shared" si="18"/>
        <v>0.0673797906799814</v>
      </c>
      <c r="J34" s="685">
        <v>0.0157937441532117</v>
      </c>
      <c r="K34" s="125">
        <f t="shared" si="19"/>
        <v>5</v>
      </c>
      <c r="L34" s="105">
        <v>130534.34935039</v>
      </c>
      <c r="M34" s="125">
        <f t="shared" si="20"/>
        <v>4</v>
      </c>
      <c r="N34" s="685">
        <f t="shared" si="21"/>
        <v>0.0598252950875343</v>
      </c>
      <c r="O34" s="685">
        <v>-0.0077186082754328</v>
      </c>
      <c r="P34" s="125">
        <f t="shared" si="22"/>
        <v>10</v>
      </c>
      <c r="Q34" s="97">
        <f t="shared" si="12"/>
        <v>1.8</v>
      </c>
      <c r="R34" s="97">
        <f t="shared" si="13"/>
        <v>8.2</v>
      </c>
    </row>
    <row r="35" s="232" customFormat="1" ht="27" customHeight="1" spans="1:18">
      <c r="A35" s="90" t="s">
        <v>134</v>
      </c>
      <c r="B35" s="684">
        <v>24880.036</v>
      </c>
      <c r="C35" s="125">
        <f t="shared" si="14"/>
        <v>6</v>
      </c>
      <c r="D35" s="685">
        <f t="shared" si="15"/>
        <v>0.0416556602807718</v>
      </c>
      <c r="E35" s="685">
        <v>-0.0723126922149567</v>
      </c>
      <c r="F35" s="125">
        <f t="shared" si="16"/>
        <v>11</v>
      </c>
      <c r="G35" s="105">
        <v>24056.5612472223</v>
      </c>
      <c r="H35" s="125">
        <f t="shared" si="17"/>
        <v>13</v>
      </c>
      <c r="I35" s="685">
        <f t="shared" si="18"/>
        <v>0.015181021494564</v>
      </c>
      <c r="J35" s="685">
        <v>0.0112013861026885</v>
      </c>
      <c r="K35" s="125">
        <f t="shared" si="19"/>
        <v>7</v>
      </c>
      <c r="L35" s="105">
        <v>48936.5972472223</v>
      </c>
      <c r="M35" s="125">
        <f t="shared" si="20"/>
        <v>10</v>
      </c>
      <c r="N35" s="685">
        <f t="shared" si="21"/>
        <v>0.0224281684128695</v>
      </c>
      <c r="O35" s="685">
        <v>-0.0330551109831282</v>
      </c>
      <c r="P35" s="125">
        <f t="shared" si="22"/>
        <v>16</v>
      </c>
      <c r="Q35" s="97">
        <f t="shared" si="12"/>
        <v>5.1</v>
      </c>
      <c r="R35" s="97">
        <f t="shared" si="13"/>
        <v>4.9</v>
      </c>
    </row>
    <row r="36" s="232" customFormat="1" ht="27" customHeight="1" spans="1:18">
      <c r="A36" s="90" t="s">
        <v>135</v>
      </c>
      <c r="B36" s="684">
        <v>45622.7739</v>
      </c>
      <c r="C36" s="125">
        <f t="shared" si="14"/>
        <v>5</v>
      </c>
      <c r="D36" s="685">
        <f t="shared" si="15"/>
        <v>0.0763844059809585</v>
      </c>
      <c r="E36" s="685">
        <v>0.13975170956921</v>
      </c>
      <c r="F36" s="125">
        <f t="shared" si="16"/>
        <v>4</v>
      </c>
      <c r="G36" s="105">
        <v>111827.165993287</v>
      </c>
      <c r="H36" s="125">
        <f t="shared" si="17"/>
        <v>4</v>
      </c>
      <c r="I36" s="685">
        <f t="shared" si="18"/>
        <v>0.0705691305242675</v>
      </c>
      <c r="J36" s="685">
        <v>-0.0154446002585608</v>
      </c>
      <c r="K36" s="125">
        <f t="shared" si="19"/>
        <v>13</v>
      </c>
      <c r="L36" s="105">
        <v>157449.939893287</v>
      </c>
      <c r="M36" s="125">
        <f t="shared" si="20"/>
        <v>3</v>
      </c>
      <c r="N36" s="685">
        <f t="shared" si="21"/>
        <v>0.0721609994802667</v>
      </c>
      <c r="O36" s="685">
        <v>0.0249974448357648</v>
      </c>
      <c r="P36" s="125">
        <f t="shared" si="22"/>
        <v>2</v>
      </c>
      <c r="Q36" s="97">
        <f t="shared" si="12"/>
        <v>2.9</v>
      </c>
      <c r="R36" s="97">
        <f t="shared" si="13"/>
        <v>7.1</v>
      </c>
    </row>
    <row r="37" s="232" customFormat="1" ht="27" customHeight="1" spans="1:18">
      <c r="A37" s="90" t="s">
        <v>136</v>
      </c>
      <c r="B37" s="684">
        <v>78790.0182</v>
      </c>
      <c r="C37" s="125">
        <f t="shared" si="14"/>
        <v>3</v>
      </c>
      <c r="D37" s="685">
        <f t="shared" si="15"/>
        <v>0.131915011363128</v>
      </c>
      <c r="E37" s="685">
        <v>0.00436120840704923</v>
      </c>
      <c r="F37" s="125">
        <f t="shared" si="16"/>
        <v>7</v>
      </c>
      <c r="G37" s="105">
        <v>39152.2434535694</v>
      </c>
      <c r="H37" s="125">
        <f t="shared" si="17"/>
        <v>10</v>
      </c>
      <c r="I37" s="685">
        <f t="shared" si="18"/>
        <v>0.0247072323978835</v>
      </c>
      <c r="J37" s="685">
        <v>-0.0338726537189718</v>
      </c>
      <c r="K37" s="125">
        <f t="shared" si="19"/>
        <v>15</v>
      </c>
      <c r="L37" s="105">
        <v>117942.261653569</v>
      </c>
      <c r="M37" s="125">
        <f t="shared" si="20"/>
        <v>7</v>
      </c>
      <c r="N37" s="685">
        <f t="shared" si="21"/>
        <v>0.0540542059758993</v>
      </c>
      <c r="O37" s="685">
        <v>-0.00866214086082173</v>
      </c>
      <c r="P37" s="125">
        <f t="shared" si="22"/>
        <v>11</v>
      </c>
      <c r="Q37" s="97">
        <f t="shared" si="12"/>
        <v>6.7</v>
      </c>
      <c r="R37" s="97">
        <f t="shared" si="13"/>
        <v>3.3</v>
      </c>
    </row>
    <row r="38" s="232" customFormat="1" ht="27" customHeight="1" spans="1:18">
      <c r="A38" s="90" t="s">
        <v>137</v>
      </c>
      <c r="B38" s="684">
        <v>7687.4779</v>
      </c>
      <c r="C38" s="125">
        <f t="shared" si="14"/>
        <v>11</v>
      </c>
      <c r="D38" s="685">
        <f t="shared" si="15"/>
        <v>0.0128708402117401</v>
      </c>
      <c r="E38" s="685">
        <v>-0.0507442408811668</v>
      </c>
      <c r="F38" s="125">
        <f t="shared" si="16"/>
        <v>9</v>
      </c>
      <c r="G38" s="105">
        <v>45144.1301847638</v>
      </c>
      <c r="H38" s="125">
        <f t="shared" si="17"/>
        <v>8</v>
      </c>
      <c r="I38" s="685">
        <f t="shared" si="18"/>
        <v>0.0284884445305925</v>
      </c>
      <c r="J38" s="685">
        <v>0.00267359470194184</v>
      </c>
      <c r="K38" s="125">
        <f t="shared" si="19"/>
        <v>10</v>
      </c>
      <c r="L38" s="105">
        <v>52831.6080847638</v>
      </c>
      <c r="M38" s="125">
        <f t="shared" si="20"/>
        <v>9</v>
      </c>
      <c r="N38" s="685">
        <f t="shared" si="21"/>
        <v>0.0242132937372359</v>
      </c>
      <c r="O38" s="685">
        <v>-0.00546990391260027</v>
      </c>
      <c r="P38" s="125">
        <f t="shared" si="22"/>
        <v>8</v>
      </c>
      <c r="Q38" s="97">
        <f t="shared" si="12"/>
        <v>1.5</v>
      </c>
      <c r="R38" s="97">
        <f t="shared" si="13"/>
        <v>8.5</v>
      </c>
    </row>
    <row r="39" s="232" customFormat="1" ht="27" customHeight="1" spans="1:18">
      <c r="A39" s="90" t="s">
        <v>138</v>
      </c>
      <c r="B39" s="684">
        <v>8236.1416</v>
      </c>
      <c r="C39" s="125">
        <f t="shared" si="14"/>
        <v>10</v>
      </c>
      <c r="D39" s="685">
        <f t="shared" si="15"/>
        <v>0.0137894461452521</v>
      </c>
      <c r="E39" s="685">
        <v>-0.618658270711941</v>
      </c>
      <c r="F39" s="125">
        <f t="shared" si="16"/>
        <v>16</v>
      </c>
      <c r="G39" s="105">
        <v>114670.82033118</v>
      </c>
      <c r="H39" s="125">
        <f t="shared" si="17"/>
        <v>3</v>
      </c>
      <c r="I39" s="685">
        <f t="shared" si="18"/>
        <v>0.072363633786102</v>
      </c>
      <c r="J39" s="685">
        <v>0.191759773253067</v>
      </c>
      <c r="K39" s="125">
        <f t="shared" si="19"/>
        <v>2</v>
      </c>
      <c r="L39" s="105">
        <v>122906.96193118</v>
      </c>
      <c r="M39" s="125">
        <f t="shared" si="20"/>
        <v>5</v>
      </c>
      <c r="N39" s="685">
        <f t="shared" si="21"/>
        <v>0.0563295814660084</v>
      </c>
      <c r="O39" s="685">
        <v>0.0431974722501296</v>
      </c>
      <c r="P39" s="125">
        <f t="shared" si="22"/>
        <v>1</v>
      </c>
      <c r="Q39" s="97">
        <f t="shared" si="12"/>
        <v>0.7</v>
      </c>
      <c r="R39" s="97">
        <f t="shared" si="13"/>
        <v>9.3</v>
      </c>
    </row>
    <row r="40" s="232" customFormat="1" ht="27" customHeight="1" spans="1:18">
      <c r="A40" s="90" t="s">
        <v>147</v>
      </c>
      <c r="B40" s="684">
        <v>717.8387</v>
      </c>
      <c r="C40" s="125">
        <f t="shared" si="14"/>
        <v>16</v>
      </c>
      <c r="D40" s="685">
        <f t="shared" si="15"/>
        <v>0.0012018489452182</v>
      </c>
      <c r="E40" s="685">
        <v>0.402439307914563</v>
      </c>
      <c r="F40" s="125">
        <f t="shared" si="16"/>
        <v>1</v>
      </c>
      <c r="G40" s="105">
        <v>59885.0740503037</v>
      </c>
      <c r="H40" s="125">
        <f t="shared" si="17"/>
        <v>6</v>
      </c>
      <c r="I40" s="685">
        <f t="shared" si="18"/>
        <v>0.0377907959087955</v>
      </c>
      <c r="J40" s="685">
        <v>-0.0121769448879413</v>
      </c>
      <c r="K40" s="125">
        <f t="shared" si="19"/>
        <v>11</v>
      </c>
      <c r="L40" s="105">
        <v>60602.9127503037</v>
      </c>
      <c r="M40" s="125">
        <f t="shared" si="20"/>
        <v>8</v>
      </c>
      <c r="N40" s="685">
        <f t="shared" si="21"/>
        <v>0.0277749661793537</v>
      </c>
      <c r="O40" s="685">
        <v>-0.00870559594762388</v>
      </c>
      <c r="P40" s="125">
        <f t="shared" si="22"/>
        <v>12</v>
      </c>
      <c r="Q40" s="97">
        <f t="shared" si="12"/>
        <v>0.1</v>
      </c>
      <c r="R40" s="97">
        <f t="shared" si="13"/>
        <v>9.9</v>
      </c>
    </row>
    <row r="41" s="232" customFormat="1" ht="27" customHeight="1" spans="1:18">
      <c r="A41" s="90" t="s">
        <v>107</v>
      </c>
      <c r="B41" s="684">
        <v>1605.3408</v>
      </c>
      <c r="C41" s="125">
        <f t="shared" si="14"/>
        <v>14</v>
      </c>
      <c r="D41" s="685">
        <f t="shared" si="15"/>
        <v>0.00268775861094664</v>
      </c>
      <c r="E41" s="685">
        <v>-0.197299217775393</v>
      </c>
      <c r="F41" s="125">
        <f t="shared" si="16"/>
        <v>13</v>
      </c>
      <c r="G41" s="105">
        <v>15525.608778965</v>
      </c>
      <c r="H41" s="125">
        <f t="shared" si="17"/>
        <v>15</v>
      </c>
      <c r="I41" s="685">
        <f t="shared" si="18"/>
        <v>0.00979751836380495</v>
      </c>
      <c r="J41" s="685">
        <v>0.0107075571230644</v>
      </c>
      <c r="K41" s="125">
        <f t="shared" si="19"/>
        <v>8</v>
      </c>
      <c r="L41" s="105">
        <v>17130.949578965</v>
      </c>
      <c r="M41" s="125">
        <f t="shared" si="20"/>
        <v>15</v>
      </c>
      <c r="N41" s="685">
        <f t="shared" si="21"/>
        <v>0.00785129828885297</v>
      </c>
      <c r="O41" s="685">
        <v>-0.0132539966880462</v>
      </c>
      <c r="P41" s="125">
        <f t="shared" si="22"/>
        <v>13</v>
      </c>
      <c r="Q41" s="97">
        <f t="shared" si="12"/>
        <v>0.9</v>
      </c>
      <c r="R41" s="97">
        <f t="shared" si="13"/>
        <v>9.1</v>
      </c>
    </row>
    <row r="42" s="232" customFormat="1" ht="27" customHeight="1" spans="1:18">
      <c r="A42" s="90" t="s">
        <v>109</v>
      </c>
      <c r="B42" s="684">
        <v>14935.6341</v>
      </c>
      <c r="C42" s="125">
        <f t="shared" si="14"/>
        <v>9</v>
      </c>
      <c r="D42" s="685">
        <f t="shared" si="15"/>
        <v>0.0250061414761422</v>
      </c>
      <c r="E42" s="685">
        <v>0.00667922687486877</v>
      </c>
      <c r="F42" s="125">
        <f t="shared" si="16"/>
        <v>6</v>
      </c>
      <c r="G42" s="105">
        <v>16814.7690487241</v>
      </c>
      <c r="H42" s="125">
        <f t="shared" si="17"/>
        <v>14</v>
      </c>
      <c r="I42" s="685">
        <f t="shared" si="18"/>
        <v>0.0106110498392319</v>
      </c>
      <c r="J42" s="685">
        <v>-0.0197975687917035</v>
      </c>
      <c r="K42" s="125">
        <f t="shared" si="19"/>
        <v>14</v>
      </c>
      <c r="L42" s="105">
        <v>31750.4031487241</v>
      </c>
      <c r="M42" s="125">
        <f t="shared" si="20"/>
        <v>13</v>
      </c>
      <c r="N42" s="685">
        <f t="shared" si="21"/>
        <v>0.0145515509670323</v>
      </c>
      <c r="O42" s="685">
        <v>-0.00751833607383945</v>
      </c>
      <c r="P42" s="125">
        <f t="shared" si="22"/>
        <v>9</v>
      </c>
      <c r="Q42" s="97">
        <f t="shared" si="12"/>
        <v>4.7</v>
      </c>
      <c r="R42" s="97">
        <f t="shared" si="13"/>
        <v>5.3</v>
      </c>
    </row>
    <row r="43" s="232" customFormat="1" ht="27" customHeight="1" spans="1:18">
      <c r="A43" s="90" t="s">
        <v>111</v>
      </c>
      <c r="B43" s="684">
        <v>2005.753</v>
      </c>
      <c r="C43" s="125">
        <f t="shared" si="14"/>
        <v>13</v>
      </c>
      <c r="D43" s="685">
        <f t="shared" si="15"/>
        <v>0.00335815292128753</v>
      </c>
      <c r="E43" s="685">
        <v>-0.564160782329954</v>
      </c>
      <c r="F43" s="125">
        <f t="shared" si="16"/>
        <v>14</v>
      </c>
      <c r="G43" s="105">
        <v>25730.5617958672</v>
      </c>
      <c r="H43" s="125">
        <f t="shared" si="17"/>
        <v>12</v>
      </c>
      <c r="I43" s="685">
        <f t="shared" si="18"/>
        <v>0.0162374084839482</v>
      </c>
      <c r="J43" s="685">
        <v>0.0892865607495288</v>
      </c>
      <c r="K43" s="125">
        <f t="shared" si="19"/>
        <v>4</v>
      </c>
      <c r="L43" s="105">
        <v>27736.3147958672</v>
      </c>
      <c r="M43" s="125">
        <f t="shared" si="20"/>
        <v>14</v>
      </c>
      <c r="N43" s="685">
        <f t="shared" si="21"/>
        <v>0.0127118511377369</v>
      </c>
      <c r="O43" s="685">
        <v>-0.0172626960270509</v>
      </c>
      <c r="P43" s="125">
        <f t="shared" si="22"/>
        <v>14</v>
      </c>
      <c r="Q43" s="97">
        <f t="shared" si="12"/>
        <v>0.7</v>
      </c>
      <c r="R43" s="97">
        <f t="shared" si="13"/>
        <v>9.3</v>
      </c>
    </row>
    <row r="44" s="232" customFormat="1" ht="27" customHeight="1" spans="1:18">
      <c r="A44" s="90" t="s">
        <v>112</v>
      </c>
      <c r="B44" s="684">
        <v>261.3211</v>
      </c>
      <c r="C44" s="125">
        <f t="shared" si="14"/>
        <v>17</v>
      </c>
      <c r="D44" s="685">
        <f t="shared" si="15"/>
        <v>0.000437519582600186</v>
      </c>
      <c r="E44" s="685">
        <v>-0.778297135394198</v>
      </c>
      <c r="F44" s="125">
        <f t="shared" si="16"/>
        <v>17</v>
      </c>
      <c r="G44" s="105">
        <v>2697.09468945545</v>
      </c>
      <c r="H44" s="125">
        <f t="shared" si="17"/>
        <v>17</v>
      </c>
      <c r="I44" s="685">
        <f t="shared" si="18"/>
        <v>0.00170201601270943</v>
      </c>
      <c r="J44" s="685">
        <v>0.404779494113029</v>
      </c>
      <c r="K44" s="125">
        <f t="shared" si="19"/>
        <v>1</v>
      </c>
      <c r="L44" s="105">
        <v>2958.41578945545</v>
      </c>
      <c r="M44" s="125">
        <f t="shared" si="20"/>
        <v>17</v>
      </c>
      <c r="N44" s="685">
        <f t="shared" si="21"/>
        <v>0.00135587374876101</v>
      </c>
      <c r="O44" s="685">
        <v>-0.0452538919002092</v>
      </c>
      <c r="P44" s="125">
        <f t="shared" si="22"/>
        <v>17</v>
      </c>
      <c r="Q44" s="97">
        <f t="shared" si="12"/>
        <v>0.9</v>
      </c>
      <c r="R44" s="97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256" customWidth="1"/>
    <col min="2" max="2" width="20" style="616" customWidth="1"/>
    <col min="3" max="3" width="12" style="617" customWidth="1"/>
    <col min="4" max="8" width="9.33333333333333" style="618" customWidth="1"/>
    <col min="9" max="9" width="12.3333333333333" style="616" customWidth="1"/>
    <col min="10" max="10" width="12" style="617" customWidth="1"/>
    <col min="11" max="11" width="9.33333333333333" style="618" customWidth="1"/>
    <col min="12" max="12" width="12" style="617" customWidth="1"/>
    <col min="13" max="13" width="9.33333333333333" style="618" customWidth="1"/>
    <col min="14" max="14" width="12" style="617" customWidth="1"/>
    <col min="15" max="15" width="9.33333333333333" style="618" customWidth="1"/>
    <col min="16" max="16" width="12" style="617" customWidth="1"/>
    <col min="17" max="17" width="9.33333333333333" style="618" customWidth="1"/>
    <col min="18" max="18" width="12" style="617" customWidth="1"/>
    <col min="19" max="19" width="9.33333333333333" style="618" customWidth="1"/>
    <col min="20" max="20" width="12" style="617" customWidth="1"/>
    <col min="21" max="21" width="9.33333333333333" style="618" customWidth="1"/>
    <col min="22" max="22" width="12" style="617" customWidth="1"/>
    <col min="23" max="23" width="9.33333333333333" style="618" customWidth="1"/>
    <col min="24" max="24" width="12" style="617" customWidth="1"/>
    <col min="25" max="25" width="9.33333333333333" style="618" customWidth="1"/>
    <col min="26" max="26" width="12" style="617" customWidth="1"/>
    <col min="27" max="27" width="9.33333333333333" style="618" customWidth="1"/>
    <col min="28" max="28" width="12" style="617" customWidth="1"/>
    <col min="29" max="29" width="9.33333333333333" style="618" customWidth="1"/>
    <col min="30" max="30" width="12" style="617" customWidth="1"/>
    <col min="31" max="31" width="9.33333333333333" style="618" customWidth="1"/>
    <col min="32" max="32" width="11.6666666666667" style="617" customWidth="1"/>
    <col min="33" max="33" width="9.33333333333333" style="618" customWidth="1"/>
    <col min="34" max="34" width="12" style="617" customWidth="1"/>
    <col min="35" max="35" width="9.66666666666667" style="618" customWidth="1"/>
    <col min="36" max="36" width="7" style="619" customWidth="1"/>
    <col min="37" max="37" width="14" style="619" customWidth="1"/>
    <col min="38" max="38" width="8.88888888888889" style="619" hidden="1" customWidth="1"/>
    <col min="39" max="39" width="12.8888888888889" style="619" customWidth="1"/>
    <col min="40" max="40" width="9.66666666666667" style="619" hidden="1" customWidth="1"/>
    <col min="41" max="41" width="14.3333333333333" style="619" customWidth="1"/>
    <col min="42" max="42" width="9.66666666666667" style="619" hidden="1" customWidth="1"/>
    <col min="43" max="43" width="12.7777777777778" style="619" customWidth="1"/>
    <col min="44" max="44" width="8.88888888888889" style="619" hidden="1" customWidth="1"/>
    <col min="45" max="45" width="12.1111111111111" style="619" customWidth="1"/>
    <col min="46" max="46" width="8.88888888888889" style="619" hidden="1" customWidth="1"/>
    <col min="47" max="47" width="12.7777777777778" style="619" customWidth="1"/>
    <col min="48" max="48" width="9.66666666666667" style="619" hidden="1" customWidth="1"/>
    <col min="49" max="49" width="13.5555555555556" style="619" customWidth="1"/>
    <col min="50" max="50" width="9.66666666666667" style="619" hidden="1" customWidth="1"/>
    <col min="51" max="51" width="12.1111111111111" style="619" customWidth="1"/>
    <col min="52" max="52" width="9.66666666666667" style="619" hidden="1" customWidth="1"/>
    <col min="53" max="53" width="12.5555555555556" style="619" customWidth="1"/>
    <col min="54" max="54" width="8.88888888888889" style="619" hidden="1" customWidth="1"/>
    <col min="55" max="55" width="12.7777777777778" style="619" customWidth="1"/>
    <col min="56" max="56" width="8.88888888888889" style="619" hidden="1" customWidth="1"/>
    <col min="57" max="57" width="13.4444444444444" style="619" customWidth="1"/>
    <col min="58" max="58" width="8.88888888888889" style="619" hidden="1" customWidth="1"/>
    <col min="59" max="59" width="15.6666666666667" style="619" customWidth="1"/>
    <col min="60" max="60" width="8.88888888888889" style="619" hidden="1" customWidth="1"/>
    <col min="61" max="61" width="17.1111111111111" style="619" customWidth="1"/>
    <col min="62" max="81" width="8.88888888888889" style="619" customWidth="1"/>
    <col min="82" max="82" width="13.1111111111111" style="619" customWidth="1"/>
    <col min="83" max="83" width="8.88888888888889" style="619" customWidth="1"/>
    <col min="84" max="84" width="13.1111111111111" style="619" customWidth="1"/>
    <col min="85" max="85" width="8.88888888888889" style="619" customWidth="1"/>
    <col min="86" max="86" width="13.1111111111111" style="619" customWidth="1"/>
    <col min="87" max="89" width="8.88888888888889" style="619" customWidth="1"/>
    <col min="90" max="90" width="7" style="16" customWidth="1"/>
    <col min="91" max="115" width="8.88888888888889" style="619" customWidth="1"/>
    <col min="116" max="116" width="11.8888888888889" style="619" customWidth="1"/>
    <col min="117" max="117" width="8.88888888888889" style="619" customWidth="1"/>
    <col min="118" max="118" width="11.8888888888889" style="619" customWidth="1"/>
    <col min="119" max="119" width="8.88888888888889" style="619" customWidth="1"/>
    <col min="120" max="120" width="11.8888888888889" style="619" customWidth="1"/>
    <col min="121" max="121" width="8.88888888888889" style="619" customWidth="1"/>
    <col min="122" max="122" width="11.8888888888889" style="619" customWidth="1"/>
    <col min="123" max="123" width="8.88888888888889" style="619" customWidth="1"/>
    <col min="124" max="124" width="11.8888888888889" style="619" customWidth="1"/>
    <col min="125" max="125" width="8.88888888888889" style="619" customWidth="1"/>
    <col min="126" max="126" width="13.1111111111111" style="619" customWidth="1"/>
    <col min="127" max="127" width="8.88888888888889" style="619" customWidth="1"/>
    <col min="128" max="128" width="13.1111111111111" style="619" customWidth="1"/>
    <col min="129" max="129" width="8.88888888888889" style="619" customWidth="1"/>
    <col min="130" max="130" width="13.1111111111111" style="619" customWidth="1"/>
    <col min="131" max="133" width="8.88888888888889" style="619" customWidth="1"/>
    <col min="134" max="134" width="11.8888888888889" style="619" customWidth="1"/>
    <col min="135" max="159" width="8.88888888888889" style="619" customWidth="1"/>
    <col min="160" max="168" width="11.8888888888889" style="619" customWidth="1"/>
    <col min="169" max="169" width="13.1111111111111" style="619" customWidth="1"/>
    <col min="170" max="170" width="8.88888888888889" style="619" customWidth="1"/>
    <col min="171" max="171" width="13.1111111111111" style="619" customWidth="1"/>
    <col min="172" max="172" width="8.88888888888889" style="619" customWidth="1"/>
    <col min="173" max="173" width="13.1111111111111" style="619" customWidth="1"/>
    <col min="174" max="176" width="8.88888888888889" style="619" customWidth="1"/>
    <col min="177" max="177" width="16" style="16" customWidth="1"/>
    <col min="178" max="178" width="8.88888888888889" style="619" customWidth="1"/>
    <col min="179" max="202" width="7" style="16" customWidth="1"/>
    <col min="203" max="203" width="8.88888888888889" style="619" customWidth="1"/>
    <col min="204" max="205" width="7" style="16" customWidth="1"/>
    <col min="206" max="206" width="16" style="16" customWidth="1"/>
    <col min="207" max="207" width="8.88888888888889" style="619" customWidth="1"/>
    <col min="208" max="217" width="7" style="16" customWidth="1"/>
    <col min="218" max="218" width="11" style="16" customWidth="1"/>
    <col min="219" max="234" width="7" style="16" customWidth="1"/>
    <col min="235" max="235" width="8.88888888888889" style="619" customWidth="1"/>
    <col min="236" max="259" width="7" style="16" customWidth="1"/>
    <col min="260" max="260" width="10" style="16" customWidth="1"/>
    <col min="261" max="261" width="10" style="619" customWidth="1"/>
    <col min="262" max="269" width="10" style="16" customWidth="1"/>
    <col min="270" max="270" width="10" style="619" customWidth="1"/>
    <col min="271" max="272" width="10" style="16" customWidth="1"/>
    <col min="273" max="273" width="12" style="619" customWidth="1"/>
    <col min="274" max="274" width="16" style="619" customWidth="1"/>
    <col min="275" max="16384" width="16" style="619"/>
  </cols>
  <sheetData>
    <row r="1" ht="22.2" customHeight="1" spans="1:274">
      <c r="A1" s="257" t="s">
        <v>150</v>
      </c>
      <c r="B1" s="258"/>
      <c r="C1" s="262"/>
      <c r="D1" s="259"/>
      <c r="E1" s="259"/>
      <c r="F1" s="259"/>
      <c r="G1" s="259"/>
      <c r="H1" s="259"/>
      <c r="I1" s="258"/>
      <c r="J1" s="262"/>
      <c r="K1" s="259"/>
      <c r="L1" s="262"/>
      <c r="M1" s="259"/>
      <c r="N1" s="262"/>
      <c r="O1" s="259"/>
      <c r="P1" s="262"/>
      <c r="Q1" s="259"/>
      <c r="R1" s="262"/>
      <c r="S1" s="259"/>
      <c r="T1" s="262"/>
      <c r="U1" s="259"/>
      <c r="V1" s="262"/>
      <c r="W1" s="259"/>
      <c r="X1" s="262"/>
      <c r="Y1" s="259"/>
      <c r="Z1" s="262"/>
      <c r="AA1" s="259"/>
      <c r="AB1" s="262"/>
      <c r="AC1" s="259"/>
      <c r="AD1" s="262"/>
      <c r="AE1" s="259"/>
      <c r="AF1" s="262"/>
      <c r="AG1" s="259"/>
      <c r="AH1" s="620"/>
      <c r="AI1" s="266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621"/>
      <c r="CE1" s="89"/>
      <c r="CF1" s="621"/>
      <c r="CG1" s="89"/>
      <c r="CH1" s="621"/>
      <c r="CI1" s="89"/>
      <c r="CJ1" s="89"/>
      <c r="CK1" s="89"/>
      <c r="CL1" s="89"/>
    </row>
    <row r="2" s="255" customFormat="1" ht="30" customHeight="1" spans="1:274">
      <c r="A2" s="267" t="s">
        <v>1</v>
      </c>
      <c r="B2" s="268" t="s">
        <v>2</v>
      </c>
      <c r="C2" s="269" t="s">
        <v>151</v>
      </c>
      <c r="D2" s="270" t="s">
        <v>12</v>
      </c>
      <c r="E2" s="270"/>
      <c r="F2" s="270"/>
      <c r="G2" s="270"/>
      <c r="H2" s="270"/>
      <c r="I2" s="268"/>
      <c r="J2" s="274" t="s">
        <v>13</v>
      </c>
      <c r="K2" s="270" t="s">
        <v>12</v>
      </c>
      <c r="L2" s="274" t="s">
        <v>14</v>
      </c>
      <c r="M2" s="270" t="s">
        <v>12</v>
      </c>
      <c r="N2" s="274" t="s">
        <v>15</v>
      </c>
      <c r="O2" s="270" t="s">
        <v>12</v>
      </c>
      <c r="P2" s="274" t="s">
        <v>16</v>
      </c>
      <c r="Q2" s="270" t="s">
        <v>12</v>
      </c>
      <c r="R2" s="274" t="s">
        <v>17</v>
      </c>
      <c r="S2" s="270" t="s">
        <v>12</v>
      </c>
      <c r="T2" s="274" t="s">
        <v>18</v>
      </c>
      <c r="U2" s="270" t="s">
        <v>12</v>
      </c>
      <c r="V2" s="274" t="s">
        <v>19</v>
      </c>
      <c r="W2" s="270" t="s">
        <v>12</v>
      </c>
      <c r="X2" s="274" t="s">
        <v>20</v>
      </c>
      <c r="Y2" s="270" t="s">
        <v>12</v>
      </c>
      <c r="Z2" s="274" t="s">
        <v>21</v>
      </c>
      <c r="AA2" s="270" t="s">
        <v>12</v>
      </c>
      <c r="AB2" s="274" t="s">
        <v>23</v>
      </c>
      <c r="AC2" s="270" t="s">
        <v>12</v>
      </c>
      <c r="AD2" s="274" t="s">
        <v>25</v>
      </c>
      <c r="AE2" s="270" t="s">
        <v>12</v>
      </c>
      <c r="AF2" s="271">
        <v>45992</v>
      </c>
      <c r="AG2" s="270" t="s">
        <v>12</v>
      </c>
      <c r="AH2" s="274" t="s">
        <v>51</v>
      </c>
      <c r="AI2" s="270" t="s">
        <v>44</v>
      </c>
      <c r="AJ2" s="622"/>
      <c r="AK2" s="269" t="s">
        <v>31</v>
      </c>
      <c r="AL2" s="270" t="s">
        <v>3</v>
      </c>
      <c r="AM2" s="269" t="s">
        <v>32</v>
      </c>
      <c r="AN2" s="270" t="s">
        <v>4</v>
      </c>
      <c r="AO2" s="269" t="s">
        <v>33</v>
      </c>
      <c r="AP2" s="270" t="s">
        <v>5</v>
      </c>
      <c r="AQ2" s="269" t="s">
        <v>34</v>
      </c>
      <c r="AR2" s="270" t="s">
        <v>6</v>
      </c>
      <c r="AS2" s="269" t="s">
        <v>35</v>
      </c>
      <c r="AT2" s="270" t="s">
        <v>7</v>
      </c>
      <c r="AU2" s="269" t="s">
        <v>36</v>
      </c>
      <c r="AV2" s="270" t="s">
        <v>8</v>
      </c>
      <c r="AW2" s="269" t="s">
        <v>37</v>
      </c>
      <c r="AX2" s="270" t="s">
        <v>9</v>
      </c>
      <c r="AY2" s="269" t="s">
        <v>38</v>
      </c>
      <c r="AZ2" s="270" t="s">
        <v>10</v>
      </c>
      <c r="BA2" s="269" t="s">
        <v>39</v>
      </c>
      <c r="BB2" s="270" t="s">
        <v>22</v>
      </c>
      <c r="BC2" s="269" t="s">
        <v>40</v>
      </c>
      <c r="BD2" s="270" t="s">
        <v>24</v>
      </c>
      <c r="BE2" s="269" t="s">
        <v>41</v>
      </c>
      <c r="BF2" s="270" t="s">
        <v>26</v>
      </c>
      <c r="BG2" s="269" t="s">
        <v>42</v>
      </c>
      <c r="BH2" s="270" t="s">
        <v>28</v>
      </c>
      <c r="BI2" s="270" t="s">
        <v>51</v>
      </c>
      <c r="BJ2" s="270" t="s">
        <v>44</v>
      </c>
      <c r="BK2" s="622"/>
      <c r="BL2" s="269" t="s">
        <v>45</v>
      </c>
      <c r="BM2" s="270" t="s">
        <v>3</v>
      </c>
      <c r="BN2" s="269" t="s">
        <v>46</v>
      </c>
      <c r="BO2" s="270" t="s">
        <v>4</v>
      </c>
      <c r="BP2" s="269" t="s">
        <v>47</v>
      </c>
      <c r="BQ2" s="270" t="s">
        <v>5</v>
      </c>
      <c r="BR2" s="623" t="s">
        <v>48</v>
      </c>
      <c r="BS2" s="270" t="s">
        <v>6</v>
      </c>
      <c r="BT2" s="269" t="s">
        <v>49</v>
      </c>
      <c r="BU2" s="270" t="s">
        <v>7</v>
      </c>
      <c r="BV2" s="269" t="s">
        <v>50</v>
      </c>
      <c r="BW2" s="270" t="s">
        <v>8</v>
      </c>
      <c r="BX2" s="269" t="s">
        <v>152</v>
      </c>
      <c r="BY2" s="270" t="s">
        <v>9</v>
      </c>
      <c r="BZ2" s="269" t="s">
        <v>153</v>
      </c>
      <c r="CA2" s="270" t="s">
        <v>10</v>
      </c>
      <c r="CB2" s="269" t="s">
        <v>154</v>
      </c>
      <c r="CC2" s="270" t="s">
        <v>22</v>
      </c>
      <c r="CD2" s="271">
        <v>45200</v>
      </c>
      <c r="CE2" s="270" t="s">
        <v>24</v>
      </c>
      <c r="CF2" s="271">
        <v>45231</v>
      </c>
      <c r="CG2" s="270" t="s">
        <v>26</v>
      </c>
      <c r="CH2" s="271">
        <v>45261</v>
      </c>
      <c r="CI2" s="270" t="s">
        <v>28</v>
      </c>
      <c r="CJ2" s="269" t="s">
        <v>51</v>
      </c>
      <c r="CK2" s="270" t="s">
        <v>44</v>
      </c>
      <c r="CL2" s="270"/>
      <c r="CM2" s="624"/>
      <c r="CN2" s="625" t="s">
        <v>52</v>
      </c>
      <c r="CO2" s="626" t="s">
        <v>53</v>
      </c>
      <c r="CP2" s="626" t="s">
        <v>54</v>
      </c>
      <c r="CQ2" s="626" t="s">
        <v>55</v>
      </c>
      <c r="CR2" s="626" t="s">
        <v>56</v>
      </c>
      <c r="CS2" s="626" t="s">
        <v>57</v>
      </c>
      <c r="CT2" s="626" t="s">
        <v>58</v>
      </c>
      <c r="CU2" s="626" t="s">
        <v>59</v>
      </c>
      <c r="CV2" s="626" t="s">
        <v>60</v>
      </c>
      <c r="CW2" s="626" t="s">
        <v>61</v>
      </c>
      <c r="CX2" s="626" t="s">
        <v>62</v>
      </c>
      <c r="CY2" s="626" t="s">
        <v>63</v>
      </c>
      <c r="CZ2" s="627" t="s">
        <v>51</v>
      </c>
      <c r="DA2" s="628" t="s">
        <v>44</v>
      </c>
      <c r="DB2" s="629"/>
      <c r="DC2" s="630" t="s">
        <v>64</v>
      </c>
      <c r="DD2" s="631" t="s">
        <v>3</v>
      </c>
      <c r="DE2" s="632" t="s">
        <v>65</v>
      </c>
      <c r="DF2" s="631" t="s">
        <v>4</v>
      </c>
      <c r="DG2" s="632" t="s">
        <v>66</v>
      </c>
      <c r="DH2" s="631" t="s">
        <v>5</v>
      </c>
      <c r="DI2" s="633" t="s">
        <v>155</v>
      </c>
      <c r="DJ2" s="632" t="s">
        <v>67</v>
      </c>
      <c r="DK2" s="631" t="s">
        <v>6</v>
      </c>
      <c r="DL2" s="271">
        <v>44317</v>
      </c>
      <c r="DM2" s="631" t="s">
        <v>7</v>
      </c>
      <c r="DN2" s="271">
        <v>44348</v>
      </c>
      <c r="DO2" s="631" t="s">
        <v>8</v>
      </c>
      <c r="DP2" s="271">
        <v>44378</v>
      </c>
      <c r="DQ2" s="631" t="s">
        <v>9</v>
      </c>
      <c r="DR2" s="271">
        <v>44409</v>
      </c>
      <c r="DS2" s="631" t="s">
        <v>10</v>
      </c>
      <c r="DT2" s="271">
        <v>44440</v>
      </c>
      <c r="DU2" s="631" t="s">
        <v>22</v>
      </c>
      <c r="DV2" s="271">
        <v>44470</v>
      </c>
      <c r="DW2" s="631" t="s">
        <v>24</v>
      </c>
      <c r="DX2" s="271">
        <v>44501</v>
      </c>
      <c r="DY2" s="631" t="s">
        <v>26</v>
      </c>
      <c r="DZ2" s="271">
        <v>44531</v>
      </c>
      <c r="EA2" s="631" t="s">
        <v>28</v>
      </c>
      <c r="EB2" s="271" t="s">
        <v>51</v>
      </c>
      <c r="EC2" s="270" t="s">
        <v>44</v>
      </c>
      <c r="ED2" s="271">
        <v>43831</v>
      </c>
      <c r="EE2" s="631" t="s">
        <v>3</v>
      </c>
      <c r="EF2" s="271" t="s">
        <v>156</v>
      </c>
      <c r="EG2" s="631" t="s">
        <v>4</v>
      </c>
      <c r="EH2" s="271" t="s">
        <v>157</v>
      </c>
      <c r="EI2" s="631" t="s">
        <v>5</v>
      </c>
      <c r="EJ2" s="271" t="s">
        <v>158</v>
      </c>
      <c r="EK2" s="631" t="s">
        <v>6</v>
      </c>
      <c r="EL2" s="271" t="s">
        <v>159</v>
      </c>
      <c r="EM2" s="631" t="s">
        <v>7</v>
      </c>
      <c r="EN2" s="271" t="s">
        <v>160</v>
      </c>
      <c r="EO2" s="631" t="s">
        <v>8</v>
      </c>
      <c r="EP2" s="271" t="s">
        <v>161</v>
      </c>
      <c r="EQ2" s="631" t="s">
        <v>9</v>
      </c>
      <c r="ER2" s="271" t="s">
        <v>162</v>
      </c>
      <c r="ES2" s="631" t="s">
        <v>10</v>
      </c>
      <c r="ET2" s="271" t="s">
        <v>163</v>
      </c>
      <c r="EU2" s="631" t="s">
        <v>22</v>
      </c>
      <c r="EV2" s="631" t="s">
        <v>164</v>
      </c>
      <c r="EW2" s="631" t="s">
        <v>165</v>
      </c>
      <c r="EX2" s="631" t="s">
        <v>166</v>
      </c>
      <c r="EY2" s="631" t="s">
        <v>167</v>
      </c>
      <c r="EZ2" s="631" t="s">
        <v>168</v>
      </c>
      <c r="FA2" s="631" t="s">
        <v>169</v>
      </c>
      <c r="FB2" s="634" t="s">
        <v>51</v>
      </c>
      <c r="FC2" s="631" t="s">
        <v>44</v>
      </c>
      <c r="FD2" s="635">
        <v>43466</v>
      </c>
      <c r="FE2" s="635">
        <v>43498</v>
      </c>
      <c r="FF2" s="271">
        <v>43527</v>
      </c>
      <c r="FG2" s="271">
        <v>43559</v>
      </c>
      <c r="FH2" s="271">
        <v>43589</v>
      </c>
      <c r="FI2" s="271">
        <v>43620</v>
      </c>
      <c r="FJ2" s="271">
        <v>43650</v>
      </c>
      <c r="FK2" s="271">
        <v>43681</v>
      </c>
      <c r="FL2" s="271">
        <v>43712</v>
      </c>
      <c r="FM2" s="271">
        <v>43742</v>
      </c>
      <c r="FN2" s="636" t="s">
        <v>170</v>
      </c>
      <c r="FO2" s="271">
        <v>43773</v>
      </c>
      <c r="FP2" s="636" t="s">
        <v>171</v>
      </c>
      <c r="FQ2" s="271">
        <v>43803</v>
      </c>
      <c r="FR2" s="636" t="s">
        <v>172</v>
      </c>
      <c r="FS2" s="637" t="s">
        <v>51</v>
      </c>
      <c r="FT2" s="637" t="s">
        <v>44</v>
      </c>
      <c r="FU2" s="638" t="s">
        <v>173</v>
      </c>
      <c r="FV2" s="639"/>
      <c r="FW2" s="640">
        <v>43101</v>
      </c>
      <c r="FX2" s="73"/>
      <c r="FY2" s="641">
        <v>43132</v>
      </c>
      <c r="FZ2" s="73"/>
      <c r="GA2" s="641">
        <v>43160</v>
      </c>
      <c r="GB2" s="73"/>
      <c r="GC2" s="641">
        <v>43191</v>
      </c>
      <c r="GD2" s="73"/>
      <c r="GE2" s="641">
        <v>43221</v>
      </c>
      <c r="GF2" s="73"/>
      <c r="GG2" s="641">
        <v>43253</v>
      </c>
      <c r="GH2" s="73"/>
      <c r="GI2" s="641">
        <v>43284</v>
      </c>
      <c r="GJ2" s="73"/>
      <c r="GK2" s="641">
        <v>43315</v>
      </c>
      <c r="GL2" s="73"/>
      <c r="GM2" s="641">
        <v>43346</v>
      </c>
      <c r="GN2" s="73"/>
      <c r="GO2" s="641">
        <v>43376</v>
      </c>
      <c r="GP2" s="73"/>
      <c r="GQ2" s="641">
        <v>43407</v>
      </c>
      <c r="GR2" s="73"/>
      <c r="GS2" s="641">
        <v>43437</v>
      </c>
      <c r="GT2" s="73"/>
      <c r="GU2" s="642"/>
      <c r="GV2" s="641" t="s">
        <v>174</v>
      </c>
      <c r="GW2" s="73"/>
      <c r="GX2" s="643"/>
      <c r="GY2" s="644"/>
      <c r="GZ2" s="645">
        <v>42736</v>
      </c>
      <c r="HA2" s="646"/>
      <c r="HB2" s="647">
        <v>42767</v>
      </c>
      <c r="HC2" s="646"/>
      <c r="HD2" s="647">
        <v>42795</v>
      </c>
      <c r="HE2" s="646"/>
      <c r="HF2" s="647">
        <v>42827</v>
      </c>
      <c r="HG2" s="646"/>
      <c r="HH2" s="647">
        <v>42857</v>
      </c>
      <c r="HI2" s="646"/>
      <c r="HJ2" s="648" t="s">
        <v>175</v>
      </c>
      <c r="HK2" s="647">
        <v>42888</v>
      </c>
      <c r="HL2" s="646"/>
      <c r="HM2" s="647">
        <v>42918</v>
      </c>
      <c r="HN2" s="646"/>
      <c r="HO2" s="647">
        <v>42949</v>
      </c>
      <c r="HP2" s="646"/>
      <c r="HQ2" s="647">
        <v>42980</v>
      </c>
      <c r="HR2" s="646"/>
      <c r="HS2" s="647">
        <v>43010</v>
      </c>
      <c r="HT2" s="646"/>
      <c r="HU2" s="647">
        <v>43041</v>
      </c>
      <c r="HV2" s="646"/>
      <c r="HW2" s="647">
        <v>43071</v>
      </c>
      <c r="HX2" s="646"/>
      <c r="HY2" s="274" t="s">
        <v>51</v>
      </c>
      <c r="HZ2" s="73"/>
      <c r="IA2" s="639"/>
      <c r="IB2" s="649">
        <v>42370</v>
      </c>
      <c r="IC2" s="650"/>
      <c r="ID2" s="651">
        <v>42401</v>
      </c>
      <c r="IE2" s="650"/>
      <c r="IF2" s="651">
        <v>42430</v>
      </c>
      <c r="IG2" s="650"/>
      <c r="IH2" s="651">
        <v>42461</v>
      </c>
      <c r="II2" s="650"/>
      <c r="IJ2" s="651">
        <v>42491</v>
      </c>
      <c r="IK2" s="650"/>
      <c r="IL2" s="651">
        <v>42522</v>
      </c>
      <c r="IM2" s="650"/>
      <c r="IN2" s="651">
        <v>42552</v>
      </c>
      <c r="IO2" s="650"/>
      <c r="IP2" s="651">
        <v>42584</v>
      </c>
      <c r="IQ2" s="650"/>
      <c r="IR2" s="651">
        <v>42615</v>
      </c>
      <c r="IS2" s="650"/>
      <c r="IT2" s="651">
        <v>42645</v>
      </c>
      <c r="IU2" s="650"/>
      <c r="IV2" s="651">
        <v>42676</v>
      </c>
      <c r="IW2" s="650"/>
      <c r="IX2" s="651">
        <v>42706</v>
      </c>
      <c r="IY2" s="650"/>
    </row>
    <row r="3" s="255" customFormat="1" ht="18" customHeight="1" spans="1:274">
      <c r="A3" s="29"/>
      <c r="B3" s="29"/>
      <c r="C3" s="29"/>
      <c r="D3" s="55"/>
      <c r="E3" s="270"/>
      <c r="F3" s="270"/>
      <c r="G3" s="270"/>
      <c r="H3" s="270"/>
      <c r="I3" s="268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622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75"/>
      <c r="CE3" s="29"/>
      <c r="CF3" s="275"/>
      <c r="CG3" s="29"/>
      <c r="CH3" s="275"/>
      <c r="CI3" s="29"/>
      <c r="CJ3" s="29"/>
      <c r="CK3" s="29"/>
      <c r="CL3" s="270" t="s">
        <v>176</v>
      </c>
      <c r="CM3" s="624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52"/>
      <c r="DB3" s="629"/>
      <c r="DC3" s="339"/>
      <c r="DD3" s="45"/>
      <c r="DE3" s="29"/>
      <c r="DF3" s="45"/>
      <c r="DG3" s="29"/>
      <c r="DH3" s="45"/>
      <c r="DI3" s="29"/>
      <c r="DJ3" s="29"/>
      <c r="DK3" s="45"/>
      <c r="DL3" s="275"/>
      <c r="DM3" s="45"/>
      <c r="DN3" s="275"/>
      <c r="DO3" s="45"/>
      <c r="DP3" s="275"/>
      <c r="DQ3" s="45"/>
      <c r="DR3" s="275"/>
      <c r="DS3" s="45"/>
      <c r="DT3" s="275"/>
      <c r="DU3" s="45"/>
      <c r="DV3" s="275"/>
      <c r="DW3" s="45"/>
      <c r="DX3" s="275"/>
      <c r="DY3" s="45"/>
      <c r="DZ3" s="275"/>
      <c r="EA3" s="45"/>
      <c r="EB3" s="29"/>
      <c r="EC3" s="29"/>
      <c r="ED3" s="275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53"/>
      <c r="FE3" s="653"/>
      <c r="FF3" s="275"/>
      <c r="FG3" s="275"/>
      <c r="FH3" s="275"/>
      <c r="FI3" s="275"/>
      <c r="FJ3" s="275"/>
      <c r="FK3" s="275"/>
      <c r="FL3" s="275"/>
      <c r="FM3" s="275"/>
      <c r="FN3" s="654"/>
      <c r="FO3" s="275"/>
      <c r="FP3" s="654"/>
      <c r="FQ3" s="275"/>
      <c r="FR3" s="654"/>
      <c r="FS3" s="45"/>
      <c r="FT3" s="45"/>
      <c r="FU3" s="639"/>
      <c r="FV3" s="639"/>
      <c r="FW3" s="655" t="s">
        <v>177</v>
      </c>
      <c r="FX3" s="656" t="s">
        <v>12</v>
      </c>
      <c r="FY3" s="656" t="s">
        <v>178</v>
      </c>
      <c r="FZ3" s="637" t="s">
        <v>12</v>
      </c>
      <c r="GA3" s="637" t="s">
        <v>179</v>
      </c>
      <c r="GB3" s="637" t="s">
        <v>12</v>
      </c>
      <c r="GC3" s="637" t="s">
        <v>180</v>
      </c>
      <c r="GD3" s="637" t="s">
        <v>12</v>
      </c>
      <c r="GE3" s="637" t="s">
        <v>181</v>
      </c>
      <c r="GF3" s="637" t="s">
        <v>12</v>
      </c>
      <c r="GG3" s="637" t="s">
        <v>182</v>
      </c>
      <c r="GH3" s="637" t="s">
        <v>12</v>
      </c>
      <c r="GI3" s="644" t="s">
        <v>183</v>
      </c>
      <c r="GJ3" s="657" t="s">
        <v>12</v>
      </c>
      <c r="GK3" s="644" t="s">
        <v>184</v>
      </c>
      <c r="GL3" s="657" t="s">
        <v>12</v>
      </c>
      <c r="GM3" s="644" t="s">
        <v>185</v>
      </c>
      <c r="GN3" s="657" t="s">
        <v>12</v>
      </c>
      <c r="GO3" s="644" t="s">
        <v>186</v>
      </c>
      <c r="GP3" s="657" t="s">
        <v>12</v>
      </c>
      <c r="GQ3" s="644" t="s">
        <v>187</v>
      </c>
      <c r="GR3" s="657" t="s">
        <v>12</v>
      </c>
      <c r="GS3" s="644" t="s">
        <v>188</v>
      </c>
      <c r="GT3" s="657" t="s">
        <v>12</v>
      </c>
      <c r="GU3" s="644"/>
      <c r="GV3" s="644" t="s">
        <v>51</v>
      </c>
      <c r="GW3" s="657" t="s">
        <v>12</v>
      </c>
      <c r="GX3" s="658" t="s">
        <v>189</v>
      </c>
      <c r="GY3" s="639"/>
      <c r="GZ3" s="659" t="s">
        <v>177</v>
      </c>
      <c r="HA3" s="660" t="s">
        <v>12</v>
      </c>
      <c r="HB3" s="661" t="s">
        <v>178</v>
      </c>
      <c r="HC3" s="660" t="s">
        <v>12</v>
      </c>
      <c r="HD3" s="661" t="s">
        <v>179</v>
      </c>
      <c r="HE3" s="662" t="s">
        <v>12</v>
      </c>
      <c r="HF3" s="661" t="s">
        <v>180</v>
      </c>
      <c r="HG3" s="663" t="s">
        <v>12</v>
      </c>
      <c r="HH3" s="661" t="s">
        <v>181</v>
      </c>
      <c r="HI3" s="662" t="s">
        <v>12</v>
      </c>
      <c r="HJ3" s="274"/>
      <c r="HK3" s="659" t="s">
        <v>182</v>
      </c>
      <c r="HL3" s="663" t="s">
        <v>12</v>
      </c>
      <c r="HM3" s="661" t="s">
        <v>183</v>
      </c>
      <c r="HN3" s="663" t="s">
        <v>12</v>
      </c>
      <c r="HO3" s="661" t="s">
        <v>184</v>
      </c>
      <c r="HP3" s="663" t="s">
        <v>12</v>
      </c>
      <c r="HQ3" s="661" t="s">
        <v>185</v>
      </c>
      <c r="HR3" s="663" t="s">
        <v>12</v>
      </c>
      <c r="HS3" s="661" t="s">
        <v>186</v>
      </c>
      <c r="HT3" s="663" t="s">
        <v>12</v>
      </c>
      <c r="HU3" s="661" t="s">
        <v>187</v>
      </c>
      <c r="HV3" s="663" t="s">
        <v>12</v>
      </c>
      <c r="HW3" s="661" t="s">
        <v>188</v>
      </c>
      <c r="HX3" s="663" t="s">
        <v>12</v>
      </c>
      <c r="HY3" s="274" t="s">
        <v>51</v>
      </c>
      <c r="HZ3" s="630" t="s">
        <v>12</v>
      </c>
      <c r="IA3" s="639"/>
      <c r="IB3" s="664" t="s">
        <v>177</v>
      </c>
      <c r="IC3" s="665" t="s">
        <v>12</v>
      </c>
      <c r="ID3" s="666" t="s">
        <v>178</v>
      </c>
      <c r="IE3" s="665" t="s">
        <v>12</v>
      </c>
      <c r="IF3" s="666" t="s">
        <v>179</v>
      </c>
      <c r="IG3" s="665" t="s">
        <v>12</v>
      </c>
      <c r="IH3" s="666" t="s">
        <v>180</v>
      </c>
      <c r="II3" s="665" t="s">
        <v>12</v>
      </c>
      <c r="IJ3" s="666" t="s">
        <v>181</v>
      </c>
      <c r="IK3" s="665" t="s">
        <v>12</v>
      </c>
      <c r="IL3" s="666" t="s">
        <v>182</v>
      </c>
      <c r="IM3" s="665" t="s">
        <v>12</v>
      </c>
      <c r="IN3" s="666" t="s">
        <v>183</v>
      </c>
      <c r="IO3" s="665" t="s">
        <v>12</v>
      </c>
      <c r="IP3" s="666" t="s">
        <v>184</v>
      </c>
      <c r="IQ3" s="665" t="s">
        <v>12</v>
      </c>
      <c r="IR3" s="666" t="s">
        <v>185</v>
      </c>
      <c r="IS3" s="665" t="s">
        <v>12</v>
      </c>
      <c r="IT3" s="667" t="s">
        <v>186</v>
      </c>
      <c r="IU3" s="665" t="s">
        <v>12</v>
      </c>
      <c r="IV3" s="667" t="s">
        <v>187</v>
      </c>
      <c r="IW3" s="665" t="s">
        <v>12</v>
      </c>
      <c r="IX3" s="667" t="s">
        <v>188</v>
      </c>
      <c r="IY3" s="668" t="s">
        <v>12</v>
      </c>
      <c r="IZ3" s="274" t="s">
        <v>190</v>
      </c>
      <c r="JA3" s="271">
        <v>42005</v>
      </c>
      <c r="JB3" s="271">
        <v>42036</v>
      </c>
      <c r="JC3" s="271">
        <v>42064</v>
      </c>
      <c r="JD3" s="271">
        <v>42095</v>
      </c>
      <c r="JE3" s="271">
        <v>42125</v>
      </c>
      <c r="JF3" s="271">
        <v>42156</v>
      </c>
      <c r="JG3" s="271">
        <v>42186</v>
      </c>
      <c r="JH3" s="271">
        <v>42217</v>
      </c>
      <c r="JI3" s="271">
        <v>42248</v>
      </c>
      <c r="JJ3" s="271">
        <v>42278</v>
      </c>
      <c r="JK3" s="271">
        <v>42309</v>
      </c>
      <c r="JL3" s="271">
        <v>42339</v>
      </c>
      <c r="JM3" s="669" t="s">
        <v>191</v>
      </c>
      <c r="JN3" s="669" t="s">
        <v>192</v>
      </c>
    </row>
    <row r="4" s="256" customFormat="1" ht="31.2" customHeight="1" spans="1:274">
      <c r="A4" s="276" t="s">
        <v>80</v>
      </c>
      <c r="B4" s="277" t="s">
        <v>193</v>
      </c>
      <c r="C4" s="282">
        <f>C6+C8+C10+C12+C14+C16+C18+C20+C22+C24+C26+C28+C30+C32+C34+C36+C38</f>
        <v>37879.5601</v>
      </c>
      <c r="D4" s="280">
        <f t="shared" ref="D4:D39" si="0">C4/J4-1</f>
        <v>0.0181658130881426</v>
      </c>
      <c r="E4" s="280"/>
      <c r="F4" s="280"/>
      <c r="G4" s="280"/>
      <c r="H4" s="280"/>
      <c r="I4" s="670"/>
      <c r="J4" s="282">
        <f>J6+J8+J10+J12+J14+J16+J18+J20+J22+J24+J26+J28+J30+J32+J34+J36+J38</f>
        <v>37203.7242</v>
      </c>
      <c r="K4" s="280">
        <f t="shared" ref="K4:K39" si="1">J4/AK4-1</f>
        <v>-0.0815004965412436</v>
      </c>
      <c r="L4" s="282">
        <f>L6+L8+L10+L12+L14+L16+L18+L20+L22+L24+L26+L28+L30+L32+L34+L36+L38</f>
        <v>35057.4642</v>
      </c>
      <c r="M4" s="280">
        <f t="shared" ref="M4:M39" si="2">L4/AM4-1</f>
        <v>0.0326762943645493</v>
      </c>
      <c r="N4" s="282">
        <f>N6+N8+N10+N12+N14+N16+N18+N20+N22+N24+N26+N28+N30+N32+N34+N36+N38</f>
        <v>39843.6891</v>
      </c>
      <c r="O4" s="280">
        <f t="shared" ref="O4:O39" si="3">N4/AO4-1</f>
        <v>-0.0413987742805265</v>
      </c>
      <c r="P4" s="282">
        <f>P6+P8+P10+P12+P14+P16+P18+P20+P22+P24+P26+P28+P30+P32+P34+P36+P38</f>
        <v>39848.28</v>
      </c>
      <c r="Q4" s="280">
        <f t="shared" ref="Q4:Q39" si="4">P4/AQ4-1</f>
        <v>-0.0375438469327721</v>
      </c>
      <c r="R4" s="282">
        <f>R6+R8+R10+R12+R14+R16+R18+R20+R22+R24+R26+R28+R30+R32+R34+R36+R38</f>
        <v>39481.6288</v>
      </c>
      <c r="S4" s="280">
        <f t="shared" ref="S4:S39" si="5">R4/AS4-1</f>
        <v>-0.0350064467000184</v>
      </c>
      <c r="T4" s="282">
        <f>T6+T8+T10+T12+T14+T16+T18+T20+T22+T24+T26+T28+T30+T32+T34+T36+T38</f>
        <v>37007.0642</v>
      </c>
      <c r="U4" s="280">
        <f t="shared" ref="U4:U39" si="6">T4/AU4-1</f>
        <v>-0.0582778093252453</v>
      </c>
      <c r="V4" s="282">
        <f>V6+V8+V10+V12+V14+V16+V18+V20+V22+V24+V26+V28+V30+V32+V34+V36+V38</f>
        <v>35790.5081</v>
      </c>
      <c r="W4" s="280">
        <f t="shared" ref="W4:W39" si="7">V4/AW4-1</f>
        <v>-0.0780852035056547</v>
      </c>
      <c r="X4" s="282">
        <f>X6+X8+X10+X12+X14+X16+X18+X20+X22+X24+X26+X28+X30+X32+X34+X36+X38</f>
        <v>34876.8273</v>
      </c>
      <c r="Y4" s="280">
        <f t="shared" ref="Y4:Y39" si="8">X4/AY4-1</f>
        <v>-0.064106846365625</v>
      </c>
      <c r="Z4" s="282">
        <f>Z6+Z8+Z10+Z12+Z14+Z16+Z18+Z20+Z22+Z24+Z26+Z28+Z30+Z32+Z34+Z36+Z38</f>
        <v>36600.6201</v>
      </c>
      <c r="AA4" s="280">
        <f t="shared" ref="AA4:AA39" si="9">Z4/BA4-1</f>
        <v>-0.0428537228169963</v>
      </c>
      <c r="AB4" s="282">
        <f>AB6+AB8+AB10+AB12+AB14+AB16+AB18+AB20+AB22+AB24+AB26+AB28+AB30+AB32+AB34+AB36+AB38</f>
        <v>38756.5331</v>
      </c>
      <c r="AC4" s="280">
        <f t="shared" ref="AC4:AC39" si="10">AB4/BC4-1</f>
        <v>-0.044425635390887</v>
      </c>
      <c r="AD4" s="282">
        <f>AD6+AD8+AD10+AD12+AD14+AD16+AD18+AD20+AD22+AD24+AD26+AD28+AD30+AD32+AD34+AD36+AD38</f>
        <v>38790.157</v>
      </c>
      <c r="AE4" s="280">
        <f t="shared" ref="AE4:AE39" si="11">AD4/BE4-1</f>
        <v>-0.02310299678577</v>
      </c>
      <c r="AF4" s="282">
        <f>AF6+AF8+AF10+AF12+AF14+AF16+AF18+AF20+AF22+AF24+AF26+AF28+AF30+AF32+AF34+AF36+AF38</f>
        <v>38353.738</v>
      </c>
      <c r="AG4" s="280">
        <f t="shared" ref="AG4:AG39" si="12">AF4/BG4-1</f>
        <v>-0.0631905838271632</v>
      </c>
      <c r="AH4" s="282">
        <f t="shared" ref="AH4:AH39" si="13">J4+L4+N4+P4+R4+T4+V4+X4+Z4+AB4+AD4</f>
        <v>413256.4961</v>
      </c>
      <c r="AI4" s="280">
        <f t="shared" ref="AI4:AI39" si="14">AH4/SUM(AK4,AM4,AO4,AQ4,AS4,AU4,AW4,AY4,BA4,BC4,BE4)-1</f>
        <v>-0.0438839587589379</v>
      </c>
      <c r="AJ4" s="281"/>
      <c r="AK4" s="282">
        <f>AK6+AK8+AK10+AK12+AK14+AK16+AK18+AK20+AK22+AK24+AK26+AK28+AK30+AK32+AK34+AK36+AK38</f>
        <v>40504.8931</v>
      </c>
      <c r="AL4" s="281"/>
      <c r="AM4" s="282">
        <f>AM6+AM8+AM10+AM12+AM14+AM16+AM18+AM20+AM22+AM24+AM26+AM28+AM30+AM32+AM34+AM36+AM38</f>
        <v>33948.164</v>
      </c>
      <c r="AN4" s="281"/>
      <c r="AO4" s="282">
        <f>AO6+AO8+AO10+AO12+AO14+AO16+AO18+AO20+AO22+AO24+AO26+AO28+AO30+AO32+AO34+AO36+AO38</f>
        <v>41564.4045</v>
      </c>
      <c r="AP4" s="281"/>
      <c r="AQ4" s="282">
        <f>AQ6+AQ8+AQ10+AQ12+AQ14+AQ16+AQ18+AQ20+AQ22+AQ24+AQ26+AQ28+AQ30+AQ32+AQ34+AQ36+AQ38</f>
        <v>41402.6965</v>
      </c>
      <c r="AR4" s="281"/>
      <c r="AS4" s="282">
        <f>AS6+AS8+AS10+AS12+AS14+AS16+AS18+AS20+AS22+AS24+AS26+AS28+AS30+AS32+AS34+AS36+AS38</f>
        <v>40913.8783</v>
      </c>
      <c r="AT4" s="281"/>
      <c r="AU4" s="282">
        <f>AU6+AU8+AU10+AU12+AU14+AU16+AU18+AU20+AU22+AU24+AU26+AU28+AU30+AU32+AU34+AU36+AU38</f>
        <v>39297.2201</v>
      </c>
      <c r="AV4" s="281"/>
      <c r="AW4" s="282">
        <f>AW6+AW8+AW10+AW12+AW14+AW16+AW18+AW20+AW22+AW24+AW26+AW28+AW30+AW32+AW34+AW36+AW38</f>
        <v>38821.9261</v>
      </c>
      <c r="AX4" s="281"/>
      <c r="AY4" s="282">
        <f>AY6+AY8+AY10+AY12+AY14+AY16+AY18+AY20+AY22+AY24+AY26+AY28+AY30+AY32+AY34+AY36+AY38</f>
        <v>37265.8216</v>
      </c>
      <c r="AZ4" s="281"/>
      <c r="BA4" s="282">
        <f>BA6+BA8+BA10+BA12+BA14+BA16+BA18+BA20+BA22+BA24+BA26+BA28+BA30+BA32+BA34+BA36+BA38</f>
        <v>38239.3172</v>
      </c>
      <c r="BB4" s="281"/>
      <c r="BC4" s="282">
        <f>BC6+BC8+BC10+BC12+BC14+BC16+BC18+BC20+BC22+BC24+BC26+BC28+BC30+BC32+BC34+BC36+BC38</f>
        <v>40558.3642</v>
      </c>
      <c r="BD4" s="281"/>
      <c r="BE4" s="282">
        <f>BE6+BE8+BE10+BE12+BE14+BE16+BE18+BE20+BE22+BE24+BE26+BE28+BE30+BE32+BE34+BE36+BE38</f>
        <v>39707.5197</v>
      </c>
      <c r="BF4" s="281"/>
      <c r="BG4" s="282">
        <f>BG6+BG8+BG10+BG12+BG14+BG16+BG18+BG20+BG22+BG24+BG26+BG28+BG30+BG32+BG34+BG36+BG38</f>
        <v>40940.8118</v>
      </c>
      <c r="BH4" s="281"/>
      <c r="BI4" s="281"/>
      <c r="BJ4" s="281"/>
      <c r="BK4" s="281"/>
      <c r="BL4" s="281"/>
      <c r="BM4" s="281"/>
      <c r="BN4" s="281"/>
      <c r="BO4" s="281"/>
      <c r="BP4" s="281"/>
      <c r="BQ4" s="281"/>
      <c r="BR4" s="281"/>
      <c r="BS4" s="281"/>
      <c r="BT4" s="281"/>
      <c r="BU4" s="281"/>
      <c r="BV4" s="281"/>
      <c r="BW4" s="281"/>
      <c r="BX4" s="281"/>
      <c r="BY4" s="281"/>
      <c r="BZ4" s="281"/>
      <c r="CA4" s="281"/>
      <c r="CB4" s="281"/>
      <c r="CC4" s="281"/>
      <c r="CD4" s="281"/>
      <c r="CE4" s="281"/>
      <c r="CF4" s="281"/>
      <c r="CG4" s="281"/>
      <c r="CH4" s="281"/>
      <c r="CI4" s="281"/>
      <c r="CJ4" s="281"/>
      <c r="CK4" s="281"/>
      <c r="CL4" s="282"/>
    </row>
    <row r="5" s="256" customFormat="1" ht="31.2" customHeight="1" spans="1:274">
      <c r="A5" s="29"/>
      <c r="B5" s="277" t="s">
        <v>194</v>
      </c>
      <c r="C5" s="282">
        <f>C7+C9+C11+C13+C15+C17+C19+C21+C23+C25+C27+C29+C31+C33+C35+C37+C39</f>
        <v>341422.6514</v>
      </c>
      <c r="D5" s="280">
        <f t="shared" si="0"/>
        <v>-0.0257542008834529</v>
      </c>
      <c r="E5" s="280"/>
      <c r="F5" s="280"/>
      <c r="G5" s="280"/>
      <c r="H5" s="280"/>
      <c r="I5" s="670"/>
      <c r="J5" s="282">
        <f>J7+J9+J11+J13+J15+J17+J19+J21+J23+J25+J27+J29+J31+J33+J35+J37+J39</f>
        <v>350448.16381</v>
      </c>
      <c r="K5" s="280">
        <f t="shared" si="1"/>
        <v>-0.0104437877540507</v>
      </c>
      <c r="L5" s="282">
        <f>L7+L9+L11+L13+L15+L17+L19+L21+L23+L25+L27+L29+L31+L33+L35+L37+L39</f>
        <v>347609.49175</v>
      </c>
      <c r="M5" s="280">
        <f t="shared" si="2"/>
        <v>0.18256568981764</v>
      </c>
      <c r="N5" s="282">
        <f>N7+N9+N11+N13+N15+N17+N19+N21+N23+N25+N27+N29+N31+N33+N35+N37+N39</f>
        <v>381779.0059</v>
      </c>
      <c r="O5" s="280">
        <f t="shared" si="3"/>
        <v>0.0162610894156863</v>
      </c>
      <c r="P5" s="282">
        <f>P7+P9+P11+P13+P15+P17+P19+P21+P23+P25+P27+P29+P31+P33+P35+P37+P39</f>
        <v>394906.936964</v>
      </c>
      <c r="Q5" s="280">
        <f t="shared" si="4"/>
        <v>0.00742366042657538</v>
      </c>
      <c r="R5" s="282">
        <f>R7+R9+R11+R13+R15+R17+R19+R21+R23+R25+R27+R29+R31+R33+R35+R37+R39</f>
        <v>387248.5304</v>
      </c>
      <c r="S5" s="280">
        <f t="shared" si="5"/>
        <v>0.00513787313468872</v>
      </c>
      <c r="T5" s="282">
        <f>T7+T9+T11+T13+T15+T17+T19+T21+T23+T25+T27+T29+T31+T33+T35+T37+T39</f>
        <v>359988.0997</v>
      </c>
      <c r="U5" s="280">
        <f t="shared" si="6"/>
        <v>-0.020591034486262</v>
      </c>
      <c r="V5" s="282">
        <f>V7+V9+V11+V13+V15+V17+V19+V21+V23+V25+V27+V29+V31+V33+V35+V37+V39</f>
        <v>355044.9372</v>
      </c>
      <c r="W5" s="280">
        <f t="shared" si="7"/>
        <v>-0.0388085982293493</v>
      </c>
      <c r="X5" s="282">
        <f>X7+X9+X11+X13+X15+X17+X19+X21+X23+X25+X27+X29+X31+X33+X35+X37+X39</f>
        <v>347194.9</v>
      </c>
      <c r="Y5" s="280">
        <f t="shared" si="8"/>
        <v>-0.0384897443625249</v>
      </c>
      <c r="Z5" s="282">
        <f>Z7+Z9+Z11+Z13+Z15+Z17+Z19+Z21+Z23+Z25+Z27+Z29+Z31+Z33+Z35+Z37+Z39</f>
        <v>354804.3819</v>
      </c>
      <c r="AA5" s="280">
        <f t="shared" si="9"/>
        <v>-0.0268731133823945</v>
      </c>
      <c r="AB5" s="282">
        <f>AB7+AB9+AB11+AB13+AB15+AB17+AB19+AB21+AB23+AB25+AB27+AB29+AB31+AB33+AB35+AB37+AB39</f>
        <v>376096.219341</v>
      </c>
      <c r="AC5" s="280">
        <f t="shared" si="10"/>
        <v>-0.0757614755950673</v>
      </c>
      <c r="AD5" s="282">
        <f>AD7+AD9+AD11+AD13+AD15+AD17+AD19+AD21+AD23+AD25+AD27+AD29+AD31+AD33+AD35+AD37+AD39</f>
        <v>368198.824692</v>
      </c>
      <c r="AE5" s="280">
        <f t="shared" si="11"/>
        <v>-0.0239512663456187</v>
      </c>
      <c r="AF5" s="282">
        <f>AF7+AF9+AF11+AF13+AF15+AF17+AF19+AF21+AF23+AF25+AF27+AF29+AF31+AF33+AF35+AF37+AF39</f>
        <v>352159.676772</v>
      </c>
      <c r="AG5" s="280">
        <f t="shared" si="12"/>
        <v>-0.0376872417735954</v>
      </c>
      <c r="AH5" s="282">
        <f t="shared" si="13"/>
        <v>4023319.491657</v>
      </c>
      <c r="AI5" s="280">
        <f t="shared" si="14"/>
        <v>-0.00605273853642185</v>
      </c>
      <c r="AJ5" s="281"/>
      <c r="AK5" s="282">
        <f>AK7+AK9+AK11+AK13+AK15+AK17+AK19+AK21+AK23+AK25+AK27+AK29+AK31+AK33+AK35+AK37+AK39</f>
        <v>354146.7978</v>
      </c>
      <c r="AL5" s="281"/>
      <c r="AM5" s="282">
        <f>AM7+AM9+AM11+AM13+AM15+AM17+AM19+AM21+AM23+AM25+AM27+AM29+AM31+AM33+AM35+AM37+AM39</f>
        <v>293945.186084</v>
      </c>
      <c r="AN5" s="281"/>
      <c r="AO5" s="282">
        <f>AO7+AO9+AO11+AO13+AO15+AO17+AO19+AO21+AO23+AO25+AO27+AO29+AO31+AO33+AO35+AO37+AO39</f>
        <v>375670.1992</v>
      </c>
      <c r="AP5" s="281"/>
      <c r="AQ5" s="282">
        <f>AQ7+AQ9+AQ11+AQ13+AQ15+AQ17+AQ19+AQ21+AQ23+AQ25+AQ27+AQ29+AQ31+AQ33+AQ35+AQ37+AQ39</f>
        <v>391996.8852</v>
      </c>
      <c r="AR5" s="281"/>
      <c r="AS5" s="282">
        <f>AS7+AS9+AS11+AS13+AS15+AS17+AS19+AS21+AS23+AS25+AS27+AS29+AS31+AS33+AS35+AS37+AS39</f>
        <v>385269.066812</v>
      </c>
      <c r="AT5" s="281"/>
      <c r="AU5" s="282">
        <f>AU7+AU9+AU11+AU13+AU15+AU17+AU19+AU21+AU23+AU25+AU27+AU29+AU31+AU33+AU35+AU37+AU39</f>
        <v>367556.4676</v>
      </c>
      <c r="AV5" s="281"/>
      <c r="AW5" s="282">
        <f>AW7+AW9+AW11+AW13+AW15+AW17+AW19+AW21+AW23+AW25+AW27+AW29+AW31+AW33+AW35+AW37+AW39</f>
        <v>369380.059524</v>
      </c>
      <c r="AX5" s="281"/>
      <c r="AY5" s="282">
        <f>AY7+AY9+AY11+AY13+AY15+AY17+AY19+AY21+AY23+AY25+AY27+AY29+AY31+AY33+AY35+AY37+AY39</f>
        <v>361093.28836</v>
      </c>
      <c r="AZ5" s="281"/>
      <c r="BA5" s="282">
        <f>BA7+BA9+BA11+BA13+BA15+BA17+BA19+BA21+BA23+BA25+BA27+BA29+BA31+BA33+BA35+BA37+BA39</f>
        <v>364602.38308</v>
      </c>
      <c r="BB5" s="281"/>
      <c r="BC5" s="282">
        <f>BC7+BC9+BC11+BC13+BC15+BC17+BC19+BC21+BC23+BC25+BC27+BC29+BC31+BC33+BC35+BC37+BC39</f>
        <v>406925.495324</v>
      </c>
      <c r="BD5" s="281"/>
      <c r="BE5" s="282">
        <f>BE7+BE9+BE11+BE13+BE15+BE17+BE19+BE21+BE23+BE25+BE27+BE29+BE31+BE33+BE35+BE37+BE39</f>
        <v>377234.058092</v>
      </c>
      <c r="BF5" s="281"/>
      <c r="BG5" s="282">
        <f>BG7+BG9+BG11+BG13+BG15+BG17+BG19+BG21+BG23+BG25+BG27+BG29+BG31+BG33+BG35+BG37+BG39</f>
        <v>365951.374708</v>
      </c>
      <c r="BH5" s="281"/>
      <c r="BI5" s="281"/>
      <c r="BJ5" s="281"/>
      <c r="BK5" s="281"/>
      <c r="BL5" s="281"/>
      <c r="BM5" s="281"/>
      <c r="BN5" s="281"/>
      <c r="BO5" s="281"/>
      <c r="BP5" s="281"/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281"/>
      <c r="CB5" s="281"/>
      <c r="CC5" s="281"/>
      <c r="CD5" s="281"/>
      <c r="CE5" s="281"/>
      <c r="CF5" s="281"/>
      <c r="CG5" s="281"/>
      <c r="CH5" s="281"/>
      <c r="CI5" s="281"/>
      <c r="CJ5" s="281"/>
      <c r="CK5" s="281"/>
      <c r="CL5" s="282"/>
    </row>
    <row r="6" s="256" customFormat="1" ht="31.2" customHeight="1" spans="1:274">
      <c r="A6" s="283" t="s">
        <v>87</v>
      </c>
      <c r="B6" s="277" t="s">
        <v>193</v>
      </c>
      <c r="C6" s="282">
        <f>班线包车!C8+公交!C9+出租!C9+网约车!C9+轨道、轮渡!C6+轨道、轮渡!C15</f>
        <v>19964.720304809</v>
      </c>
      <c r="D6" s="280">
        <f t="shared" si="0"/>
        <v>0.0670828777466934</v>
      </c>
      <c r="E6" s="280"/>
      <c r="F6" s="280"/>
      <c r="G6" s="280"/>
      <c r="H6" s="280"/>
      <c r="I6" s="670"/>
      <c r="J6" s="282">
        <f>班线包车!V8+公交!V9+出租!V9+网约车!V9+轨道、轮渡!V6+轨道、轮渡!V15</f>
        <v>18709.6248296735</v>
      </c>
      <c r="K6" s="280">
        <f t="shared" si="1"/>
        <v>-0.108342705121337</v>
      </c>
      <c r="L6" s="282">
        <f>班线包车!X8+公交!X9+出租!X9+网约车!X9+轨道、轮渡!X6+轨道、轮渡!X15</f>
        <v>18016.1696837291</v>
      </c>
      <c r="M6" s="280">
        <f t="shared" si="2"/>
        <v>0.104799934441909</v>
      </c>
      <c r="N6" s="282">
        <f>班线包车!Z8+公交!Z9+出租!Z9+网约车!Z9+轨道、轮渡!Z6+轨道、轮渡!Z15</f>
        <v>22411.650055146</v>
      </c>
      <c r="O6" s="280">
        <f t="shared" si="3"/>
        <v>-0.0374955257947303</v>
      </c>
      <c r="P6" s="282">
        <f>班线包车!AB8+公交!AB9+出租!AB9+网约车!AB9+轨道、轮渡!AB6+轨道、轮渡!AB15</f>
        <v>22095.6508432858</v>
      </c>
      <c r="Q6" s="280">
        <f t="shared" si="4"/>
        <v>-0.031470091360146</v>
      </c>
      <c r="R6" s="282">
        <f>班线包车!AD8+公交!AD9+出租!AD9+网约车!AD9+轨道、轮渡!AD6+轨道、轮渡!AD15</f>
        <v>21361.5111823147</v>
      </c>
      <c r="S6" s="280">
        <f t="shared" si="5"/>
        <v>-0.0477924674381512</v>
      </c>
      <c r="T6" s="282">
        <f>班线包车!AF8+公交!AF9+出租!AF9+网约车!AF9+轨道、轮渡!AF6+轨道、轮渡!AF15</f>
        <v>19517.3734318711</v>
      </c>
      <c r="U6" s="280">
        <f t="shared" si="6"/>
        <v>-0.0603756936730281</v>
      </c>
      <c r="V6" s="282">
        <f>班线包车!AH8+公交!AH9+出租!AH9+网约车!AH9+轨道、轮渡!AH6+轨道、轮渡!AH15</f>
        <v>18960.5536374856</v>
      </c>
      <c r="W6" s="280">
        <f t="shared" si="7"/>
        <v>-0.075592765932331</v>
      </c>
      <c r="X6" s="282">
        <f>班线包车!AJ8+公交!AJ9+出租!AJ9+网约车!AJ9+轨道、轮渡!AJ6+轨道、轮渡!AJ15</f>
        <v>18177.3107637981</v>
      </c>
      <c r="Y6" s="280">
        <f t="shared" si="8"/>
        <v>-0.0497740873506174</v>
      </c>
      <c r="Z6" s="282">
        <f>班线包车!AL8+公交!AL9+出租!AL9+网约车!AL9+轨道、轮渡!AL6+轨道、轮渡!AL15</f>
        <v>19678.147314729</v>
      </c>
      <c r="AA6" s="280">
        <f t="shared" si="9"/>
        <v>-0.0322186686022335</v>
      </c>
      <c r="AB6" s="282">
        <f>班线包车!AN8+公交!AN9+出租!AN9+网约车!AN9+轨道、轮渡!AN6+轨道、轮渡!AN15</f>
        <v>20671.6312861315</v>
      </c>
      <c r="AC6" s="280">
        <f t="shared" si="10"/>
        <v>-0.059408423871854</v>
      </c>
      <c r="AD6" s="282">
        <f>班线包车!AP8+公交!AP9+出租!AP9+网约车!AP9+轨道、轮渡!AP6+轨道、轮渡!AP15</f>
        <v>20862.3937781458</v>
      </c>
      <c r="AE6" s="280">
        <f t="shared" si="11"/>
        <v>-0.0198923990959939</v>
      </c>
      <c r="AF6" s="282">
        <f>班线包车!AR8+公交!AR9+出租!AR9+网约车!AR9+轨道、轮渡!AR6+轨道、轮渡!AR15</f>
        <v>20640.812092364</v>
      </c>
      <c r="AG6" s="280">
        <f t="shared" si="12"/>
        <v>-0.0404491291117293</v>
      </c>
      <c r="AH6" s="282">
        <f t="shared" si="13"/>
        <v>220462.01680631</v>
      </c>
      <c r="AI6" s="280">
        <f t="shared" si="14"/>
        <v>-0.0407624012482567</v>
      </c>
      <c r="AJ6" s="281"/>
      <c r="AK6" s="282">
        <f>班线包车!AW8+公交!AW9+出租!AW9+网约车!AW9+轨道、轮渡!AW6+轨道、轮渡!AW15</f>
        <v>20982.9773581559</v>
      </c>
      <c r="AL6" s="281"/>
      <c r="AM6" s="282">
        <f>班线包车!AY8+公交!AY9+出租!AY9+网约车!AY9+轨道、轮渡!AY6+轨道、轮渡!AY15</f>
        <v>16307.1784511193</v>
      </c>
      <c r="AN6" s="281"/>
      <c r="AO6" s="282">
        <f>班线包车!BA8+公交!BA9+出租!BA9+网约车!BA9+轨道、轮渡!BA6+轨道、轮渡!BA15</f>
        <v>23284.7229865098</v>
      </c>
      <c r="AP6" s="281"/>
      <c r="AQ6" s="282">
        <f>班线包车!BC8+公交!BC9+出租!BC9+网约车!BC9+轨道、轮渡!BC6+轨道、轮渡!BC15</f>
        <v>22813.5968194474</v>
      </c>
      <c r="AR6" s="281"/>
      <c r="AS6" s="282">
        <f>班线包车!BE8+公交!BE9+出租!BE9+网约车!BE9+轨道、轮渡!BE6+轨道、轮渡!BE15</f>
        <v>22433.6717068842</v>
      </c>
      <c r="AT6" s="281"/>
      <c r="AU6" s="282">
        <f>班线包车!BG8+公交!BG9+出租!BG9+网约车!BG9+轨道、轮渡!BG6+轨道、轮渡!BG15</f>
        <v>20771.4650424117</v>
      </c>
      <c r="AV6" s="281"/>
      <c r="AW6" s="282">
        <f>班线包车!BI8+公交!BI9+出租!BI9+网约车!BI9+轨道、轮渡!BI6+轨道、轮渡!BI15</f>
        <v>20511.0398736859</v>
      </c>
      <c r="AX6" s="281"/>
      <c r="AY6" s="282">
        <f>班线包车!BK8+公交!BK9+出租!BK9+网约车!BK9+轨道、轮渡!BK6+轨道、轮渡!BK15</f>
        <v>19129.4622908323</v>
      </c>
      <c r="AZ6" s="281"/>
      <c r="BA6" s="282">
        <f>班线包车!BM8+公交!BM9+出租!BM9+网约车!BM9+轨道、轮渡!BM6+轨道、轮渡!BM15</f>
        <v>20333.2578097036</v>
      </c>
      <c r="BB6" s="281"/>
      <c r="BC6" s="282">
        <f>班线包车!BO8+公交!BO9+出租!BO9+网约车!BO9+轨道、轮渡!BO6+轨道、轮渡!BO15</f>
        <v>21977.2660214801</v>
      </c>
      <c r="BD6" s="281"/>
      <c r="BE6" s="282">
        <f>班线包车!BQ8+公交!BQ9+出租!BQ9+网约车!BQ9+轨道、轮渡!BQ6+轨道、轮渡!BQ15</f>
        <v>21285.8198007069</v>
      </c>
      <c r="BF6" s="281"/>
      <c r="BG6" s="282">
        <f>班线包车!BS8+公交!BS9+出租!BS9+网约车!BS9+轨道、轮渡!BS6+轨道、轮渡!BS15</f>
        <v>21510.9096542807</v>
      </c>
      <c r="BH6" s="281"/>
      <c r="BI6" s="282">
        <f>班线包车!BU8+公交!BU9+出租!BU9+网约车!BU9+轨道、轮渡!BU6+轨道、轮渡!BU15</f>
        <v>251341.367815218</v>
      </c>
      <c r="BJ6" s="281"/>
      <c r="BK6" s="281"/>
      <c r="BL6" s="281"/>
      <c r="BM6" s="281"/>
      <c r="BN6" s="281"/>
      <c r="BO6" s="281"/>
      <c r="BP6" s="281"/>
      <c r="BQ6" s="281"/>
      <c r="BR6" s="281"/>
      <c r="BS6" s="281"/>
      <c r="BT6" s="281"/>
      <c r="BU6" s="281"/>
      <c r="BV6" s="281"/>
      <c r="BW6" s="281"/>
      <c r="BX6" s="281"/>
      <c r="BY6" s="281"/>
      <c r="BZ6" s="281"/>
      <c r="CA6" s="281"/>
      <c r="CB6" s="281"/>
      <c r="CC6" s="281"/>
      <c r="CD6" s="281"/>
      <c r="CE6" s="281"/>
      <c r="CF6" s="281"/>
      <c r="CG6" s="281"/>
      <c r="CH6" s="281"/>
      <c r="CI6" s="281"/>
      <c r="CJ6" s="281"/>
      <c r="CK6" s="281"/>
      <c r="CL6" s="282"/>
    </row>
    <row r="7" s="256" customFormat="1" ht="31.2" customHeight="1" spans="1:274">
      <c r="A7" s="29"/>
      <c r="B7" s="277" t="s">
        <v>194</v>
      </c>
      <c r="C7" s="282">
        <f>班线包车!C9+公交!C10+出租!C10+网约车!C10+轨道、轮渡!C7+轨道、轮渡!C16</f>
        <v>158363.777619778</v>
      </c>
      <c r="D7" s="280">
        <f t="shared" si="0"/>
        <v>0.0791440342930489</v>
      </c>
      <c r="E7" s="280"/>
      <c r="F7" s="280"/>
      <c r="G7" s="280"/>
      <c r="H7" s="280"/>
      <c r="I7" s="670"/>
      <c r="J7" s="282">
        <f>班线包车!V9+公交!V10+出租!V10+网约车!V10+轨道、轮渡!V7+轨道、轮渡!V16</f>
        <v>146749.435281383</v>
      </c>
      <c r="K7" s="280">
        <f t="shared" si="1"/>
        <v>-0.0624090055328406</v>
      </c>
      <c r="L7" s="282">
        <f>班线包车!X9+公交!X10+出租!X10+网约车!X10+轨道、轮渡!X7+轨道、轮渡!X16</f>
        <v>143750.065958782</v>
      </c>
      <c r="M7" s="280">
        <f t="shared" si="2"/>
        <v>0.480775970409973</v>
      </c>
      <c r="N7" s="282">
        <f>班线包车!Z9+公交!Z10+出租!Z10+网约车!Z10+轨道、轮渡!Z7+轨道、轮渡!Z16</f>
        <v>179568.023115061</v>
      </c>
      <c r="O7" s="280">
        <f t="shared" si="3"/>
        <v>0.00297307487420739</v>
      </c>
      <c r="P7" s="282">
        <f>班线包车!AB9+公交!AB10+出租!AB10+网约车!AB10+轨道、轮渡!AB7+轨道、轮渡!AB16</f>
        <v>182522.589907957</v>
      </c>
      <c r="Q7" s="280">
        <f t="shared" si="4"/>
        <v>0.00365199088828927</v>
      </c>
      <c r="R7" s="282">
        <f>班线包车!AD9+公交!AD10+出租!AD10+网约车!AD10+轨道、轮渡!AD7+轨道、轮渡!AD16</f>
        <v>175602.369181625</v>
      </c>
      <c r="S7" s="280">
        <f t="shared" si="5"/>
        <v>-0.00122020936325817</v>
      </c>
      <c r="T7" s="282">
        <f>班线包车!AF9+公交!AF10+出租!AF10+网约车!AF10+轨道、轮渡!AF7+轨道、轮渡!AF16</f>
        <v>159139.6383724</v>
      </c>
      <c r="U7" s="280">
        <f t="shared" si="6"/>
        <v>-0.0431688618692874</v>
      </c>
      <c r="V7" s="282">
        <f>班线包车!AH9+公交!AH10+出租!AH10+网约车!AH10+轨道、轮渡!AH7+轨道、轮渡!AH16</f>
        <v>156289.660999119</v>
      </c>
      <c r="W7" s="280">
        <f t="shared" si="7"/>
        <v>-0.0478414677277399</v>
      </c>
      <c r="X7" s="282">
        <f>班线包车!AJ9+公交!AJ10+出租!AJ10+网约车!AJ10+轨道、轮渡!AJ7+轨道、轮渡!AJ16</f>
        <v>150830.440433795</v>
      </c>
      <c r="Y7" s="280">
        <f t="shared" si="8"/>
        <v>-0.0207296843355597</v>
      </c>
      <c r="Z7" s="282">
        <f>班线包车!AL9+公交!AL10+出租!AL10+网约车!AL10+轨道、轮渡!AL7+轨道、轮渡!AL16</f>
        <v>162240.866721601</v>
      </c>
      <c r="AA7" s="280">
        <f t="shared" si="9"/>
        <v>-0.0042584260227897</v>
      </c>
      <c r="AB7" s="282">
        <f>班线包车!AN9+公交!AN10+出租!AN10+网约车!AN10+轨道、轮渡!AN7+轨道、轮渡!AN16</f>
        <v>172520.560268641</v>
      </c>
      <c r="AC7" s="280">
        <f t="shared" si="10"/>
        <v>-0.100211263083673</v>
      </c>
      <c r="AD7" s="282">
        <f>班线包车!AP9+公交!AP10+出租!AP10+网约车!AP10+轨道、轮渡!AP7+轨道、轮渡!AP16</f>
        <v>170968.548150774</v>
      </c>
      <c r="AE7" s="280">
        <f t="shared" si="11"/>
        <v>-0.00619811672214565</v>
      </c>
      <c r="AF7" s="282">
        <f>班线包车!AR9+公交!AR10+出租!AR10+网约车!AR10+轨道、轮渡!AR7+轨道、轮渡!AR16</f>
        <v>166626.803681441</v>
      </c>
      <c r="AG7" s="280">
        <f t="shared" si="12"/>
        <v>-0.00792284701870316</v>
      </c>
      <c r="AH7" s="282">
        <f t="shared" si="13"/>
        <v>1800182.19839114</v>
      </c>
      <c r="AI7" s="280">
        <f t="shared" si="14"/>
        <v>-0.000728979392333629</v>
      </c>
      <c r="AJ7" s="281"/>
      <c r="AK7" s="282">
        <f>班线包车!AW9+公交!AW10+出租!AW10+网约车!AW10+轨道、轮渡!AW7+轨道、轮渡!AW16</f>
        <v>156517.539254717</v>
      </c>
      <c r="AL7" s="281"/>
      <c r="AM7" s="282">
        <f>班线包车!AY9+公交!AY10+出租!AY10+网约车!AY10+轨道、轮渡!AY7+轨道、轮渡!AY16</f>
        <v>97077.5247784329</v>
      </c>
      <c r="AN7" s="281"/>
      <c r="AO7" s="282">
        <f>班线包车!BA9+公交!BA10+出租!BA10+网约车!BA10+轨道、轮渡!BA7+轨道、轮渡!BA16</f>
        <v>179035.736465391</v>
      </c>
      <c r="AP7" s="281"/>
      <c r="AQ7" s="282">
        <f>班线包车!BC9+公交!BC10+出租!BC10+网约车!BC10+轨道、轮渡!BC7+轨道、轮渡!BC16</f>
        <v>181858.444525591</v>
      </c>
      <c r="AR7" s="281"/>
      <c r="AS7" s="282">
        <f>班线包车!BE9+公交!BE10+出租!BE10+网约车!BE10+轨道、轮渡!BE7+轨道、轮渡!BE16</f>
        <v>175816.902612412</v>
      </c>
      <c r="AT7" s="281"/>
      <c r="AU7" s="282">
        <f>班线包车!BG9+公交!BG10+出租!BG10+网约车!BG10+轨道、轮渡!BG7+轨道、轮渡!BG16</f>
        <v>166319.460174863</v>
      </c>
      <c r="AV7" s="281"/>
      <c r="AW7" s="282">
        <f>班线包车!BI9+公交!BI10+出租!BI10+网约车!BI10+轨道、轮渡!BI7+轨道、轮渡!BI16</f>
        <v>164142.478066278</v>
      </c>
      <c r="AX7" s="281"/>
      <c r="AY7" s="282">
        <f>班线包车!BK9+公交!BK10+出租!BK10+网约车!BK10+轨道、轮渡!BK7+轨道、轮渡!BK16</f>
        <v>154023.29471353</v>
      </c>
      <c r="AZ7" s="281"/>
      <c r="BA7" s="282">
        <f>班线包车!BM9+公交!BM10+出租!BM10+网约车!BM10+轨道、轮渡!BM7+轨道、轮渡!BM16</f>
        <v>162934.712139792</v>
      </c>
      <c r="BB7" s="281"/>
      <c r="BC7" s="282">
        <f>班线包车!BO9+公交!BO10+出租!BO10+网约车!BO10+轨道、轮渡!BO7+轨道、轮渡!BO16</f>
        <v>191734.518549196</v>
      </c>
      <c r="BD7" s="281"/>
      <c r="BE7" s="282">
        <f>班线包车!BQ9+公交!BQ10+出租!BQ10+网约车!BQ10+轨道、轮渡!BQ7+轨道、轮渡!BQ16</f>
        <v>172034.840170426</v>
      </c>
      <c r="BF7" s="281"/>
      <c r="BG7" s="282">
        <f>班线包车!BS9+公交!BS10+出租!BS10+网约车!BS10+轨道、轮渡!BS7+轨道、轮渡!BS16</f>
        <v>167957.505301589</v>
      </c>
      <c r="BH7" s="281"/>
      <c r="BI7" s="282">
        <f>班线包车!BU9+公交!BU10+出租!BU10+网约车!BU10+轨道、轮渡!BU7+轨道、轮渡!BU16</f>
        <v>1969452.95675222</v>
      </c>
      <c r="BJ7" s="281"/>
      <c r="BK7" s="281"/>
      <c r="BL7" s="281"/>
      <c r="BM7" s="281"/>
      <c r="BN7" s="281"/>
      <c r="BO7" s="281"/>
      <c r="BP7" s="281"/>
      <c r="BQ7" s="281"/>
      <c r="BR7" s="281"/>
      <c r="BS7" s="281"/>
      <c r="BT7" s="281"/>
      <c r="BU7" s="281"/>
      <c r="BV7" s="281"/>
      <c r="BW7" s="281"/>
      <c r="BX7" s="281"/>
      <c r="BY7" s="281"/>
      <c r="BZ7" s="281"/>
      <c r="CA7" s="281"/>
      <c r="CB7" s="281"/>
      <c r="CC7" s="281"/>
      <c r="CD7" s="281"/>
      <c r="CE7" s="281"/>
      <c r="CF7" s="281"/>
      <c r="CG7" s="281"/>
      <c r="CH7" s="281"/>
      <c r="CI7" s="281"/>
      <c r="CJ7" s="281"/>
      <c r="CK7" s="281"/>
      <c r="CL7" s="282"/>
    </row>
    <row r="8" s="256" customFormat="1" ht="31.2" customHeight="1" spans="1:274">
      <c r="A8" s="283" t="s">
        <v>94</v>
      </c>
      <c r="B8" s="277" t="s">
        <v>193</v>
      </c>
      <c r="C8" s="282">
        <f>班线包车!C10+公交!C13+出租!C13+网约车!C13+轨道、轮渡!C8</f>
        <v>1573.40360222451</v>
      </c>
      <c r="D8" s="280">
        <f t="shared" si="0"/>
        <v>-0.0528452793986972</v>
      </c>
      <c r="E8" s="280"/>
      <c r="F8" s="280"/>
      <c r="G8" s="280"/>
      <c r="H8" s="280"/>
      <c r="I8" s="670"/>
      <c r="J8" s="282">
        <f>班线包车!V10+公交!V13+出租!V13+网约车!V13+轨道、轮渡!V8</f>
        <v>1661.18963248753</v>
      </c>
      <c r="K8" s="280">
        <f t="shared" si="1"/>
        <v>-0.147939615102504</v>
      </c>
      <c r="L8" s="282">
        <f>班线包车!X10+公交!X13+出租!X13+网约车!X13+轨道、轮渡!X8</f>
        <v>1647.78502173583</v>
      </c>
      <c r="M8" s="280">
        <f t="shared" si="2"/>
        <v>-0.00287116151225297</v>
      </c>
      <c r="N8" s="282">
        <f>班线包车!Z10+公交!Z13+出租!Z13+网约车!Z13+轨道、轮渡!Z8</f>
        <v>1683.99553727404</v>
      </c>
      <c r="O8" s="280">
        <f t="shared" si="3"/>
        <v>-0.0905289525297598</v>
      </c>
      <c r="P8" s="282">
        <f>班线包车!AB10+公交!AB13+出租!AB13+网约车!AB13+轨道、轮渡!AB8</f>
        <v>1752.78493912396</v>
      </c>
      <c r="Q8" s="280">
        <f t="shared" si="4"/>
        <v>-0.0776229883624785</v>
      </c>
      <c r="R8" s="282">
        <f>班线包车!AD10+公交!AD13+出租!AD13+网约车!AD13+轨道、轮渡!AD8</f>
        <v>1757.33647393195</v>
      </c>
      <c r="S8" s="280">
        <f t="shared" si="5"/>
        <v>-0.0393610183585904</v>
      </c>
      <c r="T8" s="282">
        <f>班线包车!AF10+公交!AF13+出租!AF13+网约车!AF13+轨道、轮渡!AF8</f>
        <v>1611.77762723</v>
      </c>
      <c r="U8" s="280">
        <f t="shared" si="6"/>
        <v>-0.0957118794594973</v>
      </c>
      <c r="V8" s="282">
        <f>班线包车!AH10+公交!AH13+出租!AH13+网约车!AH13+轨道、轮渡!AH8</f>
        <v>1514.81052229462</v>
      </c>
      <c r="W8" s="280">
        <f t="shared" si="7"/>
        <v>-0.134410202696163</v>
      </c>
      <c r="X8" s="282">
        <f>班线包车!AJ10+公交!AJ13+出租!AJ13+网约车!AJ13+轨道、轮渡!AJ8</f>
        <v>1511.41604149275</v>
      </c>
      <c r="Y8" s="280">
        <f t="shared" si="8"/>
        <v>-0.109578115088796</v>
      </c>
      <c r="Z8" s="282">
        <f>班线包车!AL10+公交!AL13+出租!AL13+网约车!AL13+轨道、轮渡!AL8</f>
        <v>1541.77951906167</v>
      </c>
      <c r="AA8" s="280">
        <f t="shared" si="9"/>
        <v>-0.0958123096790543</v>
      </c>
      <c r="AB8" s="282">
        <f>班线包车!AN10+公交!AN13+出租!AN13+网约车!AN13+轨道、轮渡!AN8</f>
        <v>1628.19856300113</v>
      </c>
      <c r="AC8" s="280">
        <f t="shared" si="10"/>
        <v>-0.0635499624453071</v>
      </c>
      <c r="AD8" s="282">
        <f>班线包车!AP10+公交!AP13+出租!AP13+网约车!AP13+轨道、轮渡!AP8</f>
        <v>1587.34402515316</v>
      </c>
      <c r="AE8" s="280">
        <f t="shared" si="11"/>
        <v>-0.0892557836445085</v>
      </c>
      <c r="AF8" s="282">
        <f>班线包车!AR10+公交!AR13+出租!AR13+网约车!AR13+轨道、轮渡!AR8</f>
        <v>1600.95471178736</v>
      </c>
      <c r="AG8" s="280">
        <f t="shared" si="12"/>
        <v>-0.0976399105767616</v>
      </c>
      <c r="AH8" s="282">
        <f t="shared" si="13"/>
        <v>17898.4179027867</v>
      </c>
      <c r="AI8" s="280">
        <f t="shared" si="14"/>
        <v>-0.0868141777306632</v>
      </c>
      <c r="AJ8" s="281"/>
      <c r="AK8" s="282">
        <f>班线包车!AW10+公交!AW13+出租!AW13+网约车!AW13+轨道、轮渡!AW8</f>
        <v>1949.6149121959</v>
      </c>
      <c r="AL8" s="281"/>
      <c r="AM8" s="282">
        <f>班线包车!AY10+公交!AY13+出租!AY13+网约车!AY13+轨道、轮渡!AY8</f>
        <v>1652.52970141238</v>
      </c>
      <c r="AN8" s="281"/>
      <c r="AO8" s="282">
        <f>班线包车!BA10+公交!BA13+出租!BA13+网约车!BA13+轨道、轮渡!BA8</f>
        <v>1851.62083164516</v>
      </c>
      <c r="AP8" s="281"/>
      <c r="AQ8" s="282">
        <f>班线包车!BC10+公交!BC13+出租!BC13+网约车!BC13+轨道、轮渡!BC8</f>
        <v>1900.29122257957</v>
      </c>
      <c r="AR8" s="281"/>
      <c r="AS8" s="282">
        <f>班线包车!BE10+公交!BE13+出租!BE13+网约车!BE13+轨道、轮渡!BE8</f>
        <v>1829.34120675517</v>
      </c>
      <c r="AT8" s="281"/>
      <c r="AU8" s="282">
        <f>班线包车!BG10+公交!BG13+出租!BG13+网约车!BG13+轨道、轮渡!BG8</f>
        <v>1782.37178020941</v>
      </c>
      <c r="AV8" s="281"/>
      <c r="AW8" s="282">
        <f>班线包车!BI10+公交!BI13+出租!BI13+网约车!BI13+轨道、轮渡!BI8</f>
        <v>1750.03278344199</v>
      </c>
      <c r="AX8" s="281"/>
      <c r="AY8" s="282">
        <f>班线包车!BK10+公交!BK13+出租!BK13+网约车!BK13+轨道、轮渡!BK8</f>
        <v>1697.41564881177</v>
      </c>
      <c r="AZ8" s="281"/>
      <c r="BA8" s="282">
        <f>班线包车!BM10+公交!BM13+出租!BM13+网约车!BM13+轨道、轮渡!BM8</f>
        <v>1705.15428993997</v>
      </c>
      <c r="BB8" s="281"/>
      <c r="BC8" s="282">
        <f>班线包车!BO10+公交!BO13+出租!BO13+网约车!BO13+轨道、轮渡!BO8</f>
        <v>1738.69239970642</v>
      </c>
      <c r="BD8" s="281"/>
      <c r="BE8" s="282">
        <f>班线包车!BQ10+公交!BQ13+出租!BQ13+网约车!BQ13+轨道、轮渡!BQ8</f>
        <v>1742.90870767778</v>
      </c>
      <c r="BF8" s="281"/>
      <c r="BG8" s="282">
        <f>班线包车!BS10+公交!BS13+出租!BS13+网约车!BS13+轨道、轮渡!BS8</f>
        <v>1774.1860821999</v>
      </c>
      <c r="BH8" s="281"/>
      <c r="BI8" s="282">
        <f>班线包车!BU10+公交!BU13+出租!BU13+网约车!BU13+轨道、轮渡!BU8</f>
        <v>21374.1595665754</v>
      </c>
      <c r="BJ8" s="281"/>
      <c r="BK8" s="281"/>
      <c r="BL8" s="281"/>
      <c r="BM8" s="281"/>
      <c r="BN8" s="281"/>
      <c r="BO8" s="281"/>
      <c r="BP8" s="281"/>
      <c r="BQ8" s="281"/>
      <c r="BR8" s="281"/>
      <c r="BS8" s="281"/>
      <c r="BT8" s="281"/>
      <c r="BU8" s="281"/>
      <c r="BV8" s="281"/>
      <c r="BW8" s="281"/>
      <c r="BX8" s="281"/>
      <c r="BY8" s="281"/>
      <c r="BZ8" s="281"/>
      <c r="CA8" s="281"/>
      <c r="CB8" s="281"/>
      <c r="CC8" s="281"/>
      <c r="CD8" s="281"/>
      <c r="CE8" s="281"/>
      <c r="CF8" s="281"/>
      <c r="CG8" s="281"/>
      <c r="CH8" s="281"/>
      <c r="CI8" s="281"/>
      <c r="CJ8" s="281"/>
      <c r="CK8" s="281"/>
      <c r="CL8" s="282"/>
    </row>
    <row r="9" s="256" customFormat="1" ht="31.2" customHeight="1" spans="1:274">
      <c r="A9" s="29"/>
      <c r="B9" s="277" t="s">
        <v>194</v>
      </c>
      <c r="C9" s="282">
        <f>班线包车!C11+公交!C14+出租!C14+网约车!C14+轨道、轮渡!C9</f>
        <v>12691.0380821839</v>
      </c>
      <c r="D9" s="280">
        <f t="shared" si="0"/>
        <v>-0.0691264040269055</v>
      </c>
      <c r="E9" s="280"/>
      <c r="F9" s="280"/>
      <c r="G9" s="280"/>
      <c r="H9" s="280"/>
      <c r="I9" s="670"/>
      <c r="J9" s="282">
        <f>班线包车!V11+公交!V14+出租!V14+网约车!V14+轨道、轮渡!V9</f>
        <v>13633.4708998995</v>
      </c>
      <c r="K9" s="280">
        <f t="shared" si="1"/>
        <v>-0.135969082118015</v>
      </c>
      <c r="L9" s="282">
        <f>班线包车!X11+公交!X14+出租!X14+网约车!X14+轨道、轮渡!X9</f>
        <v>13581.2571934762</v>
      </c>
      <c r="M9" s="280">
        <f t="shared" si="2"/>
        <v>0.0431709571452019</v>
      </c>
      <c r="N9" s="282">
        <f>班线包车!Z11+公交!Z14+出租!Z14+网约车!Z14+轨道、轮渡!Z9</f>
        <v>14055.9151162684</v>
      </c>
      <c r="O9" s="280">
        <f t="shared" si="3"/>
        <v>-0.0697319563645706</v>
      </c>
      <c r="P9" s="282">
        <f>班线包车!AB11+公交!AB14+出租!AB14+网约车!AB14+轨道、轮渡!AB9</f>
        <v>14955.3397437368</v>
      </c>
      <c r="Q9" s="280">
        <f t="shared" si="4"/>
        <v>-0.0546837662657348</v>
      </c>
      <c r="R9" s="282">
        <f>班线包车!AD11+公交!AD14+出租!AD14+网约车!AD14+轨道、轮渡!AD9</f>
        <v>14509.6240092505</v>
      </c>
      <c r="S9" s="280">
        <f t="shared" si="5"/>
        <v>-0.0485936399483649</v>
      </c>
      <c r="T9" s="282">
        <f>班线包车!AF11+公交!AF14+出租!AF14+网约车!AF14+轨道、轮渡!AF9</f>
        <v>13215.6002700444</v>
      </c>
      <c r="U9" s="280">
        <f t="shared" si="6"/>
        <v>-0.0838017994792765</v>
      </c>
      <c r="V9" s="282">
        <f>班线包车!AH11+公交!AH14+出租!AH14+网约车!AH14+轨道、轮渡!AH9</f>
        <v>12410.7296616015</v>
      </c>
      <c r="W9" s="280">
        <f t="shared" si="7"/>
        <v>-0.137615228527151</v>
      </c>
      <c r="X9" s="282">
        <f>班线包车!AJ11+公交!AJ14+出租!AJ14+网约车!AJ14+轨道、轮渡!AJ9</f>
        <v>12466.6389540003</v>
      </c>
      <c r="Y9" s="280">
        <f t="shared" si="8"/>
        <v>-0.102168059486093</v>
      </c>
      <c r="Z9" s="282">
        <f>班线包车!AL11+公交!AL14+出租!AL14+网约车!AL14+轨道、轮渡!AL9</f>
        <v>12717.0114985309</v>
      </c>
      <c r="AA9" s="280">
        <f t="shared" si="9"/>
        <v>-0.0878313041672062</v>
      </c>
      <c r="AB9" s="282">
        <f>班线包车!AN11+公交!AN14+出租!AN14+网约车!AN14+轨道、轮渡!AN9</f>
        <v>13520.9850779395</v>
      </c>
      <c r="AC9" s="280">
        <f t="shared" si="10"/>
        <v>-0.0724929150840783</v>
      </c>
      <c r="AD9" s="282">
        <f>班线包车!AP11+公交!AP14+出租!AP14+网约车!AP14+轨道、轮渡!AP9</f>
        <v>13373.0952339358</v>
      </c>
      <c r="AE9" s="280">
        <f t="shared" si="11"/>
        <v>-0.0768354512836517</v>
      </c>
      <c r="AF9" s="282">
        <f>班线包车!AR11+公交!AR14+出租!AR14+网约车!AR14+轨道、轮渡!AR9</f>
        <v>13332.2283210716</v>
      </c>
      <c r="AG9" s="280">
        <f t="shared" si="12"/>
        <v>-0.0621022749486977</v>
      </c>
      <c r="AH9" s="282">
        <f t="shared" si="13"/>
        <v>148439.667658684</v>
      </c>
      <c r="AI9" s="280">
        <f t="shared" si="14"/>
        <v>-0.0762075802878815</v>
      </c>
      <c r="AJ9" s="281"/>
      <c r="AK9" s="282">
        <f>班线包车!AW11+公交!AW14+出租!AW14+网约车!AW14+轨道、轮渡!AW9</f>
        <v>15778.9155662617</v>
      </c>
      <c r="AL9" s="281"/>
      <c r="AM9" s="282">
        <f>班线包车!AY11+公交!AY14+出租!AY14+网约车!AY14+轨道、轮渡!AY9</f>
        <v>13019.2056253593</v>
      </c>
      <c r="AN9" s="281"/>
      <c r="AO9" s="282">
        <f>班线包车!BA11+公交!BA14+出租!BA14+网约车!BA14+轨道、轮渡!BA9</f>
        <v>15109.5323680461</v>
      </c>
      <c r="AP9" s="281"/>
      <c r="AQ9" s="282">
        <f>班线包车!BC11+公交!BC14+出租!BC14+网约车!BC14+轨道、轮渡!BC9</f>
        <v>15820.4622009495</v>
      </c>
      <c r="AR9" s="281"/>
      <c r="AS9" s="282">
        <f>班线包车!BE11+公交!BE14+出租!BE14+网约车!BE14+轨道、轮渡!BE9</f>
        <v>15250.7115975796</v>
      </c>
      <c r="AT9" s="281"/>
      <c r="AU9" s="282">
        <f>班线包车!BG11+公交!BG14+出租!BG14+网约车!BG14+轨道、轮渡!BG9</f>
        <v>14424.3901183535</v>
      </c>
      <c r="AV9" s="281"/>
      <c r="AW9" s="282">
        <f>班线包车!BI11+公交!BI14+出租!BI14+网约车!BI14+轨道、轮渡!BI9</f>
        <v>14391.1744178941</v>
      </c>
      <c r="AX9" s="281"/>
      <c r="AY9" s="282">
        <f>班线包车!BK11+公交!BK14+出租!BK14+网约车!BK14+轨道、轮渡!BK9</f>
        <v>13885.2700505003</v>
      </c>
      <c r="AZ9" s="281"/>
      <c r="BA9" s="282">
        <f>班线包车!BM11+公交!BM14+出租!BM14+网约车!BM14+轨道、轮渡!BM9</f>
        <v>13941.5127449869</v>
      </c>
      <c r="BB9" s="281"/>
      <c r="BC9" s="282">
        <f>班线包车!BO11+公交!BO14+出租!BO14+网约车!BO14+轨道、轮渡!BO9</f>
        <v>14577.7701300957</v>
      </c>
      <c r="BD9" s="281"/>
      <c r="BE9" s="282">
        <f>班线包车!BQ11+公交!BQ14+出租!BQ14+网约车!BQ14+轨道、轮渡!BQ9</f>
        <v>14486.144699264</v>
      </c>
      <c r="BF9" s="281"/>
      <c r="BG9" s="282">
        <f>班线包车!BS11+公交!BS14+出租!BS14+网约车!BS14+轨道、轮渡!BS9</f>
        <v>14215.0129645984</v>
      </c>
      <c r="BH9" s="281"/>
      <c r="BI9" s="282">
        <f>班线包车!BU11+公交!BU14+出租!BU14+网约车!BU14+轨道、轮渡!BU9</f>
        <v>174900.102483889</v>
      </c>
      <c r="BJ9" s="281"/>
      <c r="BK9" s="281"/>
      <c r="BL9" s="281"/>
      <c r="BM9" s="281"/>
      <c r="BN9" s="281"/>
      <c r="BO9" s="281"/>
      <c r="BP9" s="281"/>
      <c r="BQ9" s="281"/>
      <c r="BR9" s="281"/>
      <c r="BS9" s="281"/>
      <c r="BT9" s="281"/>
      <c r="BU9" s="281"/>
      <c r="BV9" s="281"/>
      <c r="BW9" s="281"/>
      <c r="BX9" s="281"/>
      <c r="BY9" s="281"/>
      <c r="BZ9" s="281"/>
      <c r="CA9" s="281"/>
      <c r="CB9" s="281"/>
      <c r="CC9" s="281"/>
      <c r="CD9" s="281"/>
      <c r="CE9" s="281"/>
      <c r="CF9" s="281"/>
      <c r="CG9" s="281"/>
      <c r="CH9" s="281"/>
      <c r="CI9" s="281"/>
      <c r="CJ9" s="281"/>
      <c r="CK9" s="281"/>
      <c r="CL9" s="282"/>
    </row>
    <row r="10" s="256" customFormat="1" ht="31.2" customHeight="1" spans="1:274">
      <c r="A10" s="283" t="s">
        <v>95</v>
      </c>
      <c r="B10" s="277" t="s">
        <v>193</v>
      </c>
      <c r="C10" s="282">
        <f>班线包车!C14+公交!C17+出租!C17+网约车!C17</f>
        <v>1958.77987032746</v>
      </c>
      <c r="D10" s="280">
        <f t="shared" si="0"/>
        <v>-0.0138621253938197</v>
      </c>
      <c r="E10" s="280"/>
      <c r="F10" s="280"/>
      <c r="G10" s="280"/>
      <c r="H10" s="280"/>
      <c r="I10" s="670"/>
      <c r="J10" s="282">
        <f>班线包车!V14+公交!V17+出租!V17+网约车!V17</f>
        <v>1986.31440974692</v>
      </c>
      <c r="K10" s="280">
        <f t="shared" si="1"/>
        <v>-0.110097705778964</v>
      </c>
      <c r="L10" s="282">
        <f>班线包车!X14+公交!X17+出租!X17+网约车!X17</f>
        <v>1750.51214767166</v>
      </c>
      <c r="M10" s="280">
        <f t="shared" si="2"/>
        <v>-0.0742925944184396</v>
      </c>
      <c r="N10" s="282">
        <f>班线包车!Z14+公交!Z17+出租!Z17+网约车!Z17</f>
        <v>1862.14152249256</v>
      </c>
      <c r="O10" s="280">
        <f t="shared" si="3"/>
        <v>-0.0948297554295955</v>
      </c>
      <c r="P10" s="282">
        <f>班线包车!AB14+公交!AB17+出租!AB17+网约车!AB17</f>
        <v>1966.65090537614</v>
      </c>
      <c r="Q10" s="280">
        <f t="shared" si="4"/>
        <v>-0.0799465930131521</v>
      </c>
      <c r="R10" s="282">
        <f>班线包车!AD14+公交!AD17+出租!AD17+网约车!AD17</f>
        <v>1896.05184983653</v>
      </c>
      <c r="S10" s="280">
        <f t="shared" si="5"/>
        <v>-0.072209441763833</v>
      </c>
      <c r="T10" s="282">
        <f>班线包车!AF14+公交!AF17+出租!AF17+网约车!AF17</f>
        <v>1925.32493409012</v>
      </c>
      <c r="U10" s="280">
        <f t="shared" si="6"/>
        <v>-0.055932441498496</v>
      </c>
      <c r="V10" s="282">
        <f>班线包车!AH14+公交!AH17+出租!AH17+网约车!AH17</f>
        <v>1763.97980138907</v>
      </c>
      <c r="W10" s="280">
        <f t="shared" si="7"/>
        <v>-0.131269431626019</v>
      </c>
      <c r="X10" s="282">
        <f>班线包车!AJ14+公交!AJ17+出租!AJ17+网约车!AJ17</f>
        <v>1738.51070164071</v>
      </c>
      <c r="Y10" s="280">
        <f t="shared" si="8"/>
        <v>-0.0948579281091516</v>
      </c>
      <c r="Z10" s="282">
        <f>班线包车!AL14+公交!AL17+出租!AL17+网约车!AL17</f>
        <v>1924.48148169678</v>
      </c>
      <c r="AA10" s="280">
        <f t="shared" si="9"/>
        <v>-0.0494469364956436</v>
      </c>
      <c r="AB10" s="282">
        <f>班线包车!AN14+公交!AN17+出租!AN17+网约车!AN17</f>
        <v>1902.59064760668</v>
      </c>
      <c r="AC10" s="280">
        <f t="shared" si="10"/>
        <v>-0.0511393433262629</v>
      </c>
      <c r="AD10" s="282">
        <f>班线包车!AP14+公交!AP17+出租!AP17+网约车!AP17</f>
        <v>1908.98142533487</v>
      </c>
      <c r="AE10" s="280">
        <f t="shared" si="11"/>
        <v>-0.0497285340761621</v>
      </c>
      <c r="AF10" s="282">
        <f>班线包车!AR14+公交!AR17+出租!AR17+网约车!AR17</f>
        <v>1911.52251156259</v>
      </c>
      <c r="AG10" s="280">
        <f t="shared" si="12"/>
        <v>-0.0667109062132335</v>
      </c>
      <c r="AH10" s="282">
        <f t="shared" si="13"/>
        <v>20625.5398268821</v>
      </c>
      <c r="AI10" s="280">
        <f t="shared" si="14"/>
        <v>-0.0788334422393332</v>
      </c>
      <c r="AJ10" s="281"/>
      <c r="AK10" s="282">
        <f>班线包车!AW14+公交!AW17+出租!AW17+网约车!AW17</f>
        <v>2232.05898293094</v>
      </c>
      <c r="AL10" s="281"/>
      <c r="AM10" s="282">
        <f>班线包车!AY14+公交!AY17+出租!AY17+网约车!AY17</f>
        <v>1890.99939907246</v>
      </c>
      <c r="AN10" s="281"/>
      <c r="AO10" s="282">
        <f>班线包车!BA14+公交!BA17+出租!BA17+网约车!BA17</f>
        <v>2057.22794541963</v>
      </c>
      <c r="AP10" s="281"/>
      <c r="AQ10" s="282">
        <f>班线包车!BC14+公交!BC17+出租!BC17+网约车!BC17</f>
        <v>2137.53994109633</v>
      </c>
      <c r="AR10" s="281"/>
      <c r="AS10" s="282">
        <f>班线包车!BE14+公交!BE17+出租!BE17+网约车!BE17</f>
        <v>2043.62054884578</v>
      </c>
      <c r="AT10" s="281"/>
      <c r="AU10" s="282">
        <f>班线包车!BG14+公交!BG17+出租!BG17+网约车!BG17</f>
        <v>2039.39317345694</v>
      </c>
      <c r="AV10" s="281"/>
      <c r="AW10" s="282">
        <f>班线包车!BI14+公交!BI17+出租!BI17+网约车!BI17</f>
        <v>2030.52576438141</v>
      </c>
      <c r="AX10" s="281"/>
      <c r="AY10" s="282">
        <f>班线包车!BK14+公交!BK17+出租!BK17+网约车!BK17</f>
        <v>1920.70477732733</v>
      </c>
      <c r="AZ10" s="281"/>
      <c r="BA10" s="282">
        <f>班线包车!BM14+公交!BM17+出租!BM17+网约车!BM17</f>
        <v>2024.59132013303</v>
      </c>
      <c r="BB10" s="281"/>
      <c r="BC10" s="282">
        <f>班线包车!BO14+公交!BO17+出租!BO17+网约车!BO17</f>
        <v>2005.13176958593</v>
      </c>
      <c r="BD10" s="281"/>
      <c r="BE10" s="282">
        <f>班线包车!BQ14+公交!BQ17+出租!BQ17+网约车!BQ17</f>
        <v>2008.88008720644</v>
      </c>
      <c r="BF10" s="281"/>
      <c r="BG10" s="282">
        <f>班线包车!BS14+公交!BS17+出租!BS17+网约车!BS17</f>
        <v>2048.15691545981</v>
      </c>
      <c r="BH10" s="281"/>
      <c r="BI10" s="282">
        <f>班线包车!BU14+公交!BU17+出租!BU17+网约车!BU17</f>
        <v>24438.830624916</v>
      </c>
      <c r="BJ10" s="281"/>
      <c r="BK10" s="281"/>
      <c r="BL10" s="281"/>
      <c r="BM10" s="281"/>
      <c r="BN10" s="281"/>
      <c r="BO10" s="281"/>
      <c r="BP10" s="281"/>
      <c r="BQ10" s="281"/>
      <c r="BR10" s="281"/>
      <c r="BS10" s="281"/>
      <c r="BT10" s="281"/>
      <c r="BU10" s="281"/>
      <c r="BV10" s="281"/>
      <c r="BW10" s="281"/>
      <c r="BX10" s="281"/>
      <c r="BY10" s="281"/>
      <c r="BZ10" s="281"/>
      <c r="CA10" s="281"/>
      <c r="CB10" s="281"/>
      <c r="CC10" s="281"/>
      <c r="CD10" s="281"/>
      <c r="CE10" s="281"/>
      <c r="CF10" s="281"/>
      <c r="CG10" s="281"/>
      <c r="CH10" s="281"/>
      <c r="CI10" s="281"/>
      <c r="CJ10" s="281"/>
      <c r="CK10" s="281"/>
      <c r="CL10" s="282"/>
    </row>
    <row r="11" s="256" customFormat="1" ht="31.2" customHeight="1" spans="1:274">
      <c r="A11" s="29"/>
      <c r="B11" s="277" t="s">
        <v>194</v>
      </c>
      <c r="C11" s="282">
        <f>班线包车!C15+公交!C18+出租!C18+网约车!C18</f>
        <v>15692.6009055882</v>
      </c>
      <c r="D11" s="280">
        <f t="shared" si="0"/>
        <v>-0.086018987234601</v>
      </c>
      <c r="E11" s="280"/>
      <c r="F11" s="280"/>
      <c r="G11" s="280"/>
      <c r="H11" s="280"/>
      <c r="I11" s="670"/>
      <c r="J11" s="282">
        <f>班线包车!V15+公交!V18+出租!V18+网约车!V18</f>
        <v>17169.5042746104</v>
      </c>
      <c r="K11" s="280">
        <f t="shared" si="1"/>
        <v>-0.114695561251637</v>
      </c>
      <c r="L11" s="282">
        <f>班线包车!X15+公交!X18+出租!X18+网约车!X18</f>
        <v>17535.4028394779</v>
      </c>
      <c r="M11" s="280">
        <f t="shared" si="2"/>
        <v>-0.054543681715753</v>
      </c>
      <c r="N11" s="282">
        <f>班线包车!Z15+公交!Z18+出租!Z18+网约车!Z18</f>
        <v>16528.3802471716</v>
      </c>
      <c r="O11" s="280">
        <f t="shared" si="3"/>
        <v>-0.112068975433008</v>
      </c>
      <c r="P11" s="282">
        <f>班线包车!AB15+公交!AB18+出租!AB18+网约车!AB18</f>
        <v>17776.4210993362</v>
      </c>
      <c r="Q11" s="280">
        <f t="shared" si="4"/>
        <v>-0.101173561602996</v>
      </c>
      <c r="R11" s="282">
        <f>班线包车!AD15+公交!AD18+出租!AD18+网约车!AD18</f>
        <v>17079.791389406</v>
      </c>
      <c r="S11" s="280">
        <f t="shared" si="5"/>
        <v>-0.0939005325579046</v>
      </c>
      <c r="T11" s="282">
        <f>班线包车!AF15+公交!AF18+出租!AF18+网约车!AF18</f>
        <v>17481.7033832773</v>
      </c>
      <c r="U11" s="280">
        <f t="shared" si="6"/>
        <v>-0.0422381479577245</v>
      </c>
      <c r="V11" s="282">
        <f>班线包车!AH15+公交!AH18+出租!AH18+网约车!AH18</f>
        <v>15852.8477803072</v>
      </c>
      <c r="W11" s="280">
        <f t="shared" si="7"/>
        <v>-0.152420647793295</v>
      </c>
      <c r="X11" s="282">
        <f>班线包车!AJ15+公交!AJ18+出租!AJ18+网约车!AJ18</f>
        <v>15974.2541173193</v>
      </c>
      <c r="Y11" s="280">
        <f t="shared" si="8"/>
        <v>-0.116128891533629</v>
      </c>
      <c r="Z11" s="282">
        <f>班线包车!AL15+公交!AL18+出租!AL18+网约车!AL18</f>
        <v>16188.9651856046</v>
      </c>
      <c r="AA11" s="280">
        <f t="shared" si="9"/>
        <v>-0.152290788054563</v>
      </c>
      <c r="AB11" s="282">
        <f>班线包车!AN15+公交!AN18+出租!AN18+网约车!AN18</f>
        <v>16352.9081538191</v>
      </c>
      <c r="AC11" s="280">
        <f t="shared" si="10"/>
        <v>-0.146740308399043</v>
      </c>
      <c r="AD11" s="282">
        <f>班线包车!AP15+公交!AP18+出租!AP18+网约车!AP18</f>
        <v>15787.7824942394</v>
      </c>
      <c r="AE11" s="280">
        <f t="shared" si="11"/>
        <v>-0.070189453787179</v>
      </c>
      <c r="AF11" s="282">
        <f>班线包车!AR15+公交!AR18+出租!AR18+网约车!AR18</f>
        <v>15038.4918875402</v>
      </c>
      <c r="AG11" s="280">
        <f t="shared" si="12"/>
        <v>-0.110434823226665</v>
      </c>
      <c r="AH11" s="282">
        <f t="shared" si="13"/>
        <v>183727.960964569</v>
      </c>
      <c r="AI11" s="280">
        <f t="shared" si="14"/>
        <v>-0.105746781334245</v>
      </c>
      <c r="AJ11" s="281"/>
      <c r="AK11" s="282">
        <f>班线包车!AW15+公交!AW18+出租!AW18+网约车!AW18</f>
        <v>19393.8983282231</v>
      </c>
      <c r="AL11" s="281"/>
      <c r="AM11" s="282">
        <f>班线包车!AY15+公交!AY18+出租!AY18+网约车!AY18</f>
        <v>18547.0259179187</v>
      </c>
      <c r="AN11" s="281"/>
      <c r="AO11" s="282">
        <f>班线包车!BA15+公交!BA18+出租!BA18+网约车!BA18</f>
        <v>18614.4866998333</v>
      </c>
      <c r="AP11" s="281"/>
      <c r="AQ11" s="282">
        <f>班线包车!BC15+公交!BC18+出租!BC18+网约车!BC18</f>
        <v>19777.3678431614</v>
      </c>
      <c r="AR11" s="281"/>
      <c r="AS11" s="282">
        <f>班线包车!BE15+公交!BE18+出租!BE18+网约车!BE18</f>
        <v>18849.7974042761</v>
      </c>
      <c r="AT11" s="281"/>
      <c r="AU11" s="282">
        <f>班线包车!BG15+公交!BG18+出租!BG18+网约车!BG18</f>
        <v>18252.6620224019</v>
      </c>
      <c r="AV11" s="281"/>
      <c r="AW11" s="282">
        <f>班线包车!BI15+公交!BI18+出租!BI18+网约车!BI18</f>
        <v>18703.6738672712</v>
      </c>
      <c r="AX11" s="281"/>
      <c r="AY11" s="282">
        <f>班线包车!BK15+公交!BK18+出租!BK18+网约车!BK18</f>
        <v>18073.0583501441</v>
      </c>
      <c r="AZ11" s="281"/>
      <c r="BA11" s="282">
        <f>班线包车!BM15+公交!BM18+出租!BM18+网约车!BM18</f>
        <v>19097.3094989165</v>
      </c>
      <c r="BB11" s="281"/>
      <c r="BC11" s="282">
        <f>班线包车!BO15+公交!BO18+出租!BO18+网约车!BO18</f>
        <v>19165.2181801023</v>
      </c>
      <c r="BD11" s="281"/>
      <c r="BE11" s="282">
        <f>班线包车!BQ15+公交!BQ18+出租!BQ18+网约车!BQ18</f>
        <v>16979.5691805648</v>
      </c>
      <c r="BF11" s="281"/>
      <c r="BG11" s="282">
        <f>班线包车!BS15+公交!BS18+出租!BS18+网约车!BS18</f>
        <v>16905.441310201</v>
      </c>
      <c r="BH11" s="281"/>
      <c r="BI11" s="282">
        <f>班线包车!BU15+公交!BU18+出租!BU18+网约车!BU18</f>
        <v>222359.508603014</v>
      </c>
      <c r="BJ11" s="281"/>
      <c r="BK11" s="281"/>
      <c r="BL11" s="281"/>
      <c r="BM11" s="281"/>
      <c r="BN11" s="281"/>
      <c r="BO11" s="281"/>
      <c r="BP11" s="281"/>
      <c r="BQ11" s="281"/>
      <c r="BR11" s="281"/>
      <c r="BS11" s="281"/>
      <c r="BT11" s="281"/>
      <c r="BU11" s="281"/>
      <c r="BV11" s="281"/>
      <c r="BW11" s="281"/>
      <c r="BX11" s="281"/>
      <c r="BY11" s="281"/>
      <c r="BZ11" s="281"/>
      <c r="CA11" s="281"/>
      <c r="CB11" s="281"/>
      <c r="CC11" s="281"/>
      <c r="CD11" s="281"/>
      <c r="CE11" s="281"/>
      <c r="CF11" s="281"/>
      <c r="CG11" s="281"/>
      <c r="CH11" s="281"/>
      <c r="CI11" s="281"/>
      <c r="CJ11" s="281"/>
      <c r="CK11" s="281"/>
      <c r="CL11" s="282"/>
    </row>
    <row r="12" s="256" customFormat="1" ht="31.2" customHeight="1" spans="1:274">
      <c r="A12" s="283" t="s">
        <v>96</v>
      </c>
      <c r="B12" s="277" t="s">
        <v>193</v>
      </c>
      <c r="C12" s="282">
        <f>班线包车!C18+公交!C21+出租!C21+网约车!C21</f>
        <v>2231.04056066623</v>
      </c>
      <c r="D12" s="280">
        <f t="shared" si="0"/>
        <v>-0.110712605821125</v>
      </c>
      <c r="E12" s="280"/>
      <c r="F12" s="280"/>
      <c r="G12" s="280"/>
      <c r="H12" s="280"/>
      <c r="I12" s="670"/>
      <c r="J12" s="282">
        <f>班线包车!V18+公交!V21+出租!V21+网约车!V21</f>
        <v>2508.79589126108</v>
      </c>
      <c r="K12" s="280">
        <f t="shared" si="1"/>
        <v>0.0987101603260614</v>
      </c>
      <c r="L12" s="282">
        <f>班线包车!X18+公交!X21+出租!X21+网约车!X21</f>
        <v>2157.61458248317</v>
      </c>
      <c r="M12" s="280">
        <f t="shared" si="2"/>
        <v>0.0457035739923035</v>
      </c>
      <c r="N12" s="282">
        <f>班线包车!Z18+公交!Z21+出租!Z21+网约车!Z21</f>
        <v>2291.4296410049</v>
      </c>
      <c r="O12" s="280">
        <f t="shared" si="3"/>
        <v>0.0186933688653053</v>
      </c>
      <c r="P12" s="282">
        <f>班线包车!AB18+公交!AB21+出租!AB21+网约车!AB21</f>
        <v>2463.60605696783</v>
      </c>
      <c r="Q12" s="280">
        <f t="shared" si="4"/>
        <v>0.0305288920100804</v>
      </c>
      <c r="R12" s="282">
        <f>班线包车!AD18+公交!AD21+出租!AD21+网约车!AD21</f>
        <v>2429.44864763403</v>
      </c>
      <c r="S12" s="280">
        <f t="shared" si="5"/>
        <v>0.0238109740902834</v>
      </c>
      <c r="T12" s="282">
        <f>班线包车!AF18+公交!AF21+出租!AF21+网约车!AF21</f>
        <v>2327.9462389492</v>
      </c>
      <c r="U12" s="280">
        <f t="shared" si="6"/>
        <v>-0.0400516769880539</v>
      </c>
      <c r="V12" s="282">
        <f>班线包车!AH18+公交!AH21+出租!AH21+网约车!AH21</f>
        <v>2268.28928490954</v>
      </c>
      <c r="W12" s="280">
        <f t="shared" si="7"/>
        <v>-0.0589219546898094</v>
      </c>
      <c r="X12" s="282">
        <f>班线包车!AJ18+公交!AJ21+出租!AJ21+网约车!AJ21</f>
        <v>2257.21336341776</v>
      </c>
      <c r="Y12" s="280">
        <f t="shared" si="8"/>
        <v>-0.0463089635769571</v>
      </c>
      <c r="Z12" s="282">
        <f>班线包车!AL18+公交!AL21+出租!AL21+网约车!AL21</f>
        <v>2235.19912757243</v>
      </c>
      <c r="AA12" s="280">
        <f t="shared" si="9"/>
        <v>-0.0517578906470406</v>
      </c>
      <c r="AB12" s="282">
        <f>班线包车!AN18+公交!AN21+出租!AN21+网约车!AN21</f>
        <v>2323.54073379475</v>
      </c>
      <c r="AC12" s="280">
        <f t="shared" si="10"/>
        <v>-0.0448455015541114</v>
      </c>
      <c r="AD12" s="282">
        <f>班线包车!AP18+公交!AP21+出租!AP21+网约车!AP21</f>
        <v>2304.21344727745</v>
      </c>
      <c r="AE12" s="280">
        <f t="shared" si="11"/>
        <v>-0.0622665369705732</v>
      </c>
      <c r="AF12" s="282">
        <f>班线包车!AR18+公交!AR21+出租!AR21+网约车!AR21</f>
        <v>2229.91974192544</v>
      </c>
      <c r="AG12" s="280">
        <f t="shared" si="12"/>
        <v>-0.0739423293384774</v>
      </c>
      <c r="AH12" s="282">
        <f t="shared" si="13"/>
        <v>25567.2970152721</v>
      </c>
      <c r="AI12" s="280">
        <f t="shared" si="14"/>
        <v>-0.0093619857258338</v>
      </c>
      <c r="AJ12" s="281"/>
      <c r="AK12" s="282">
        <f>班线包车!AW18+公交!AW21+出租!AW21+网约车!AW21</f>
        <v>2283.40101134275</v>
      </c>
      <c r="AL12" s="281"/>
      <c r="AM12" s="282">
        <f>班线包车!AY18+公交!AY21+出租!AY21+网约车!AY21</f>
        <v>2063.31376897355</v>
      </c>
      <c r="AN12" s="281"/>
      <c r="AO12" s="282">
        <f>班线包车!BA18+公交!BA21+出租!BA21+网约车!BA21</f>
        <v>2249.3811298264</v>
      </c>
      <c r="AP12" s="281"/>
      <c r="AQ12" s="282">
        <f>班线包车!BC18+公交!BC21+出租!BC21+网约车!BC21</f>
        <v>2390.62298599168</v>
      </c>
      <c r="AR12" s="281"/>
      <c r="AS12" s="282">
        <f>班线包车!BE18+公交!BE21+出租!BE21+网约车!BE21</f>
        <v>2372.94648046993</v>
      </c>
      <c r="AT12" s="281"/>
      <c r="AU12" s="282">
        <f>班线包车!BG18+公交!BG21+出租!BG21+网约车!BG21</f>
        <v>2425.07454114301</v>
      </c>
      <c r="AV12" s="281"/>
      <c r="AW12" s="282">
        <f>班线包车!BI18+公交!BI21+出租!BI21+网约车!BI21</f>
        <v>2410.30942780296</v>
      </c>
      <c r="AX12" s="281"/>
      <c r="AY12" s="282">
        <f>班线包车!BK18+公交!BK21+出租!BK21+网约车!BK21</f>
        <v>2366.81826420826</v>
      </c>
      <c r="AZ12" s="281"/>
      <c r="BA12" s="282">
        <f>班线包车!BM18+公交!BM21+出租!BM21+网约车!BM21</f>
        <v>2357.20298173389</v>
      </c>
      <c r="BB12" s="281"/>
      <c r="BC12" s="282">
        <f>班线包车!BO18+公交!BO21+出租!BO21+网约车!BO21</f>
        <v>2432.63339865471</v>
      </c>
      <c r="BD12" s="281"/>
      <c r="BE12" s="282">
        <f>班线包车!BQ18+公交!BQ21+出租!BQ21+网约车!BQ21</f>
        <v>2457.21576345745</v>
      </c>
      <c r="BF12" s="281"/>
      <c r="BG12" s="282">
        <f>班线包车!BS18+公交!BS21+出租!BS21+网约车!BS21</f>
        <v>2407.97070481854</v>
      </c>
      <c r="BH12" s="281"/>
      <c r="BI12" s="282">
        <f>班线包车!BU18+公交!BU21+出租!BU21+网约车!BU21</f>
        <v>28216.8904584231</v>
      </c>
      <c r="BJ12" s="281"/>
      <c r="BK12" s="281"/>
      <c r="BL12" s="281"/>
      <c r="BM12" s="281"/>
      <c r="BN12" s="281"/>
      <c r="BO12" s="281"/>
      <c r="BP12" s="281"/>
      <c r="BQ12" s="281"/>
      <c r="BR12" s="281"/>
      <c r="BS12" s="281"/>
      <c r="BT12" s="281"/>
      <c r="BU12" s="281"/>
      <c r="BV12" s="281"/>
      <c r="BW12" s="281"/>
      <c r="BX12" s="281"/>
      <c r="BY12" s="281"/>
      <c r="BZ12" s="281"/>
      <c r="CA12" s="281"/>
      <c r="CB12" s="281"/>
      <c r="CC12" s="281"/>
      <c r="CD12" s="281"/>
      <c r="CE12" s="281"/>
      <c r="CF12" s="281"/>
      <c r="CG12" s="281"/>
      <c r="CH12" s="281"/>
      <c r="CI12" s="281"/>
      <c r="CJ12" s="281"/>
      <c r="CK12" s="281"/>
      <c r="CL12" s="282"/>
    </row>
    <row r="13" s="256" customFormat="1" ht="31.2" customHeight="1" spans="1:274">
      <c r="A13" s="29"/>
      <c r="B13" s="277" t="s">
        <v>194</v>
      </c>
      <c r="C13" s="282">
        <f>班线包车!C19+公交!C22+出租!C22+网约车!C22</f>
        <v>20818.8955405008</v>
      </c>
      <c r="D13" s="280">
        <f t="shared" si="0"/>
        <v>-0.176768565710422</v>
      </c>
      <c r="E13" s="280"/>
      <c r="F13" s="280"/>
      <c r="G13" s="280"/>
      <c r="H13" s="280"/>
      <c r="I13" s="670"/>
      <c r="J13" s="282">
        <f>班线包车!V19+公交!V22+出租!V22+网约车!V22</f>
        <v>25289.2378416852</v>
      </c>
      <c r="K13" s="280">
        <f t="shared" si="1"/>
        <v>0.185851104730416</v>
      </c>
      <c r="L13" s="282">
        <f>班线包车!X19+公交!X22+出租!X22+网约车!X22</f>
        <v>24351.5476450452</v>
      </c>
      <c r="M13" s="280">
        <f t="shared" si="2"/>
        <v>0.0899340372357205</v>
      </c>
      <c r="N13" s="282">
        <f>班线包车!Z19+公交!Z22+出租!Z22+网约车!Z22</f>
        <v>25505.5897491231</v>
      </c>
      <c r="O13" s="280">
        <f t="shared" si="3"/>
        <v>0.0643367132085502</v>
      </c>
      <c r="P13" s="282">
        <f>班线包车!AB19+公交!AB22+出租!AB22+网约车!AB22</f>
        <v>27953.3131958554</v>
      </c>
      <c r="Q13" s="280">
        <f t="shared" si="4"/>
        <v>0.0109608936539975</v>
      </c>
      <c r="R13" s="282">
        <f>班线包车!AD19+公交!AD22+出租!AD22+网约车!AD22</f>
        <v>27229.4783860546</v>
      </c>
      <c r="S13" s="280">
        <f t="shared" si="5"/>
        <v>0.00183123537722629</v>
      </c>
      <c r="T13" s="282">
        <f>班线包车!AF19+公交!AF22+出租!AF22+网约车!AF22</f>
        <v>25488.7353015369</v>
      </c>
      <c r="U13" s="280">
        <f t="shared" si="6"/>
        <v>-0.0223468649819856</v>
      </c>
      <c r="V13" s="282">
        <f>班线包车!AH19+公交!AH22+出租!AH22+网约车!AH22</f>
        <v>26168.1526283375</v>
      </c>
      <c r="W13" s="280">
        <f t="shared" si="7"/>
        <v>-0.048354700402881</v>
      </c>
      <c r="X13" s="282">
        <f>班线包车!AJ19+公交!AJ22+出租!AJ22+网约车!AJ22</f>
        <v>27444.643872539</v>
      </c>
      <c r="Y13" s="280">
        <f t="shared" si="8"/>
        <v>-0.0334349264499388</v>
      </c>
      <c r="Z13" s="282">
        <f>班线包车!AL19+公交!AL22+出租!AL22+网约车!AL22</f>
        <v>26020.8361149499</v>
      </c>
      <c r="AA13" s="280">
        <f t="shared" si="9"/>
        <v>-0.039665366941232</v>
      </c>
      <c r="AB13" s="282">
        <f>班线包车!AN19+公交!AN22+出租!AN22+网约车!AN22</f>
        <v>27632.9298025046</v>
      </c>
      <c r="AC13" s="280">
        <f t="shared" si="10"/>
        <v>-0.0380227863514051</v>
      </c>
      <c r="AD13" s="282">
        <f>班线包车!AP19+公交!AP22+出租!AP22+网约车!AP22</f>
        <v>26116.5907855436</v>
      </c>
      <c r="AE13" s="280">
        <f t="shared" si="11"/>
        <v>-0.0662425229730831</v>
      </c>
      <c r="AF13" s="282">
        <f>班线包车!AR19+公交!AR22+出租!AR22+网约车!AR22</f>
        <v>22547.6359696625</v>
      </c>
      <c r="AG13" s="280">
        <f t="shared" si="12"/>
        <v>0.00094161206161103</v>
      </c>
      <c r="AH13" s="282">
        <f t="shared" si="13"/>
        <v>289201.055323175</v>
      </c>
      <c r="AI13" s="280">
        <f t="shared" si="14"/>
        <v>0.00342109592963991</v>
      </c>
      <c r="AJ13" s="281"/>
      <c r="AK13" s="282">
        <f>班线包车!AW19+公交!AW22+出租!AW22+网约车!AW22</f>
        <v>21325.8121030585</v>
      </c>
      <c r="AL13" s="281"/>
      <c r="AM13" s="282">
        <f>班线包车!AY19+公交!AY22+出租!AY22+网约车!AY22</f>
        <v>22342.2214676453</v>
      </c>
      <c r="AN13" s="281"/>
      <c r="AO13" s="282">
        <f>班线包车!BA19+公交!BA22+出租!BA22+网约车!BA22</f>
        <v>23963.8353470247</v>
      </c>
      <c r="AP13" s="281"/>
      <c r="AQ13" s="282">
        <f>班线包车!BC19+公交!BC22+出租!BC22+网约车!BC22</f>
        <v>27650.2418355882</v>
      </c>
      <c r="AR13" s="281"/>
      <c r="AS13" s="282">
        <f>班线包车!BE19+公交!BE22+出租!BE22+网约车!BE22</f>
        <v>27179.7059469819</v>
      </c>
      <c r="AT13" s="281"/>
      <c r="AU13" s="282">
        <f>班线包车!BG19+公交!BG22+出租!BG22+网约车!BG22</f>
        <v>26071.3481996529</v>
      </c>
      <c r="AV13" s="281"/>
      <c r="AW13" s="282">
        <f>班线包车!BI19+公交!BI22+出租!BI22+网约车!BI22</f>
        <v>27497.8005349428</v>
      </c>
      <c r="AX13" s="281"/>
      <c r="AY13" s="282">
        <f>班线包车!BK19+公交!BK22+出租!BK22+网约车!BK22</f>
        <v>28393.9950072255</v>
      </c>
      <c r="AZ13" s="281"/>
      <c r="BA13" s="282">
        <f>班线包车!BM19+公交!BM22+出租!BM22+网约车!BM22</f>
        <v>27095.5927436156</v>
      </c>
      <c r="BB13" s="281"/>
      <c r="BC13" s="282">
        <f>班线包车!BO19+公交!BO22+出租!BO22+网约车!BO22</f>
        <v>28725.1396503439</v>
      </c>
      <c r="BD13" s="281"/>
      <c r="BE13" s="282">
        <f>班线包车!BQ19+公交!BQ22+出租!BQ22+网约车!BQ22</f>
        <v>27969.3511731748</v>
      </c>
      <c r="BF13" s="281"/>
      <c r="BG13" s="282">
        <f>班线包车!BS19+公交!BS22+出租!BS22+网约车!BS22</f>
        <v>22526.4248163505</v>
      </c>
      <c r="BH13" s="281"/>
      <c r="BI13" s="282">
        <f>班线包车!BU19+公交!BU22+出租!BU22+网约车!BU22</f>
        <v>310741.468825605</v>
      </c>
      <c r="BJ13" s="281"/>
      <c r="BK13" s="281"/>
      <c r="BL13" s="281"/>
      <c r="BM13" s="281"/>
      <c r="BN13" s="281"/>
      <c r="BO13" s="281"/>
      <c r="BP13" s="281"/>
      <c r="BQ13" s="281"/>
      <c r="BR13" s="281"/>
      <c r="BS13" s="281"/>
      <c r="BT13" s="281"/>
      <c r="BU13" s="281"/>
      <c r="BV13" s="281"/>
      <c r="BW13" s="281"/>
      <c r="BX13" s="281"/>
      <c r="BY13" s="281"/>
      <c r="BZ13" s="281"/>
      <c r="CA13" s="281"/>
      <c r="CB13" s="281"/>
      <c r="CC13" s="281"/>
      <c r="CD13" s="281"/>
      <c r="CE13" s="281"/>
      <c r="CF13" s="281"/>
      <c r="CG13" s="281"/>
      <c r="CH13" s="281"/>
      <c r="CI13" s="281"/>
      <c r="CJ13" s="281"/>
      <c r="CK13" s="281"/>
      <c r="CL13" s="282"/>
    </row>
    <row r="14" s="256" customFormat="1" ht="31.2" customHeight="1" spans="1:274">
      <c r="A14" s="283" t="s">
        <v>97</v>
      </c>
      <c r="B14" s="277" t="s">
        <v>193</v>
      </c>
      <c r="C14" s="282">
        <f>班线包车!C22+公交!C25+出租!C25+网约车!C25</f>
        <v>2272.40203938821</v>
      </c>
      <c r="D14" s="280">
        <f t="shared" si="0"/>
        <v>-0.183999100298281</v>
      </c>
      <c r="E14" s="280"/>
      <c r="F14" s="280"/>
      <c r="G14" s="280"/>
      <c r="H14" s="280"/>
      <c r="I14" s="670"/>
      <c r="J14" s="282">
        <f>班线包车!V22+公交!V25+出租!V25+网约车!V25</f>
        <v>2784.80335036256</v>
      </c>
      <c r="K14" s="280">
        <f t="shared" si="1"/>
        <v>-0.00625893415377354</v>
      </c>
      <c r="L14" s="282">
        <f>班线包车!X22+公交!X25+出租!X25+网约车!X25</f>
        <v>2464.41211777767</v>
      </c>
      <c r="M14" s="280">
        <f t="shared" si="2"/>
        <v>-0.00333532856673879</v>
      </c>
      <c r="N14" s="282">
        <f>班线包车!Z22+公交!Z25+出租!Z25+网约车!Z25</f>
        <v>2357.74636158138</v>
      </c>
      <c r="O14" s="280">
        <f t="shared" si="3"/>
        <v>0.00620158204528365</v>
      </c>
      <c r="P14" s="282">
        <f>班线包车!AB22+公交!AB25+出租!AB25+网约车!AB25</f>
        <v>2218.65956652738</v>
      </c>
      <c r="Q14" s="280">
        <f t="shared" si="4"/>
        <v>-0.0791256706871181</v>
      </c>
      <c r="R14" s="282">
        <f>班线包车!AD22+公交!AD25+出租!AD25+网约车!AD25</f>
        <v>2373.1137849808</v>
      </c>
      <c r="S14" s="280">
        <f t="shared" si="5"/>
        <v>-0.0480788327569017</v>
      </c>
      <c r="T14" s="282">
        <f>班线包车!AF22+公交!AF25+出租!AF25+网约车!AF25</f>
        <v>2201.15958510487</v>
      </c>
      <c r="U14" s="280">
        <f t="shared" si="6"/>
        <v>-0.0741423432846507</v>
      </c>
      <c r="V14" s="282">
        <f>班线包车!AH22+公交!AH25+出租!AH25+网约车!AH25</f>
        <v>2176.79402177859</v>
      </c>
      <c r="W14" s="280">
        <f t="shared" si="7"/>
        <v>-0.0723657754111328</v>
      </c>
      <c r="X14" s="282">
        <f>班线包车!AJ22+公交!AJ25+出租!AJ25+网约车!AJ25</f>
        <v>2235.56214356813</v>
      </c>
      <c r="Y14" s="280">
        <f t="shared" si="8"/>
        <v>-0.0592325597535147</v>
      </c>
      <c r="Z14" s="282">
        <f>班线包车!AL22+公交!AL25+出租!AL25+网约车!AL25</f>
        <v>2185.51240901019</v>
      </c>
      <c r="AA14" s="280">
        <f t="shared" si="9"/>
        <v>-0.0683515630192395</v>
      </c>
      <c r="AB14" s="282">
        <f>班线包车!AN22+公交!AN25+出租!AN25+网约车!AN25</f>
        <v>2390.15861840299</v>
      </c>
      <c r="AC14" s="280">
        <f t="shared" si="10"/>
        <v>-0.0474967179089784</v>
      </c>
      <c r="AD14" s="282">
        <f>班线包车!AP22+公交!AP25+出租!AP25+网约车!AP25</f>
        <v>2527.88761869349</v>
      </c>
      <c r="AE14" s="280">
        <f t="shared" si="11"/>
        <v>-0.0701512997770074</v>
      </c>
      <c r="AF14" s="282">
        <f>班线包车!AR22+公交!AR25+出租!AR25+网约车!AR25</f>
        <v>2136.4723839882</v>
      </c>
      <c r="AG14" s="280">
        <f t="shared" si="12"/>
        <v>-0.389537723506068</v>
      </c>
      <c r="AH14" s="282">
        <f t="shared" si="13"/>
        <v>25915.8095777881</v>
      </c>
      <c r="AI14" s="280">
        <f t="shared" si="14"/>
        <v>-0.0470251133551786</v>
      </c>
      <c r="AJ14" s="281"/>
      <c r="AK14" s="282">
        <f>班线包车!AW22+公交!AW25+出租!AW25+网约车!AW25</f>
        <v>2802.34303086906</v>
      </c>
      <c r="AL14" s="281"/>
      <c r="AM14" s="282">
        <f>班线包车!AY22+公交!AY25+出租!AY25+网约车!AY25</f>
        <v>2472.65924880603</v>
      </c>
      <c r="AN14" s="281"/>
      <c r="AO14" s="282">
        <f>班线包车!BA22+公交!BA25+出租!BA25+网约车!BA25</f>
        <v>2343.21472322558</v>
      </c>
      <c r="AP14" s="281"/>
      <c r="AQ14" s="282">
        <f>班线包车!BC22+公交!BC25+出租!BC25+网约车!BC25</f>
        <v>2409.29679099954</v>
      </c>
      <c r="AR14" s="281"/>
      <c r="AS14" s="282">
        <f>班线包车!BE22+公交!BE25+出租!BE25+网约车!BE25</f>
        <v>2492.97301776961</v>
      </c>
      <c r="AT14" s="281"/>
      <c r="AU14" s="282">
        <f>班线包车!BG22+公交!BG25+出租!BG25+网约车!BG25</f>
        <v>2377.42764143021</v>
      </c>
      <c r="AV14" s="281"/>
      <c r="AW14" s="282">
        <f>班线包车!BI22+公交!BI25+出租!BI25+网约车!BI25</f>
        <v>2346.60813937019</v>
      </c>
      <c r="AX14" s="281"/>
      <c r="AY14" s="282">
        <f>班线包车!BK22+公交!BK25+出租!BK25+网约车!BK25</f>
        <v>2376.31751262821</v>
      </c>
      <c r="AZ14" s="281"/>
      <c r="BA14" s="282">
        <f>班线包车!BM22+公交!BM25+出租!BM25+网约车!BM25</f>
        <v>2345.85528430971</v>
      </c>
      <c r="BB14" s="281"/>
      <c r="BC14" s="282">
        <f>班线包车!BO22+公交!BO25+出租!BO25+网约车!BO25</f>
        <v>2509.34423360295</v>
      </c>
      <c r="BD14" s="281"/>
      <c r="BE14" s="282">
        <f>班线包车!BQ22+公交!BQ25+出租!BQ25+网约车!BQ25</f>
        <v>2718.60101335546</v>
      </c>
      <c r="BF14" s="281"/>
      <c r="BG14" s="282">
        <f>班线包车!BS22+公交!BS25+出租!BS25+网约车!BS25</f>
        <v>3499.76151885847</v>
      </c>
      <c r="BH14" s="281"/>
      <c r="BI14" s="282">
        <f>班线包车!BU22+公交!BU25+出租!BU25+网约车!BU25</f>
        <v>30694.402155225</v>
      </c>
      <c r="BJ14" s="281"/>
      <c r="BK14" s="281"/>
      <c r="BL14" s="281"/>
      <c r="BM14" s="281"/>
      <c r="BN14" s="281"/>
      <c r="BO14" s="281"/>
      <c r="BP14" s="281"/>
      <c r="BQ14" s="281"/>
      <c r="BR14" s="281"/>
      <c r="BS14" s="281"/>
      <c r="BT14" s="281"/>
      <c r="BU14" s="281"/>
      <c r="BV14" s="281"/>
      <c r="BW14" s="281"/>
      <c r="BX14" s="281"/>
      <c r="BY14" s="281"/>
      <c r="BZ14" s="281"/>
      <c r="CA14" s="281"/>
      <c r="CB14" s="281"/>
      <c r="CC14" s="281"/>
      <c r="CD14" s="281"/>
      <c r="CE14" s="281"/>
      <c r="CF14" s="281"/>
      <c r="CG14" s="281"/>
      <c r="CH14" s="281"/>
      <c r="CI14" s="281"/>
      <c r="CJ14" s="281"/>
      <c r="CK14" s="281"/>
      <c r="CL14" s="282"/>
    </row>
    <row r="15" s="256" customFormat="1" ht="31.2" customHeight="1" spans="1:274">
      <c r="A15" s="29"/>
      <c r="B15" s="277" t="s">
        <v>194</v>
      </c>
      <c r="C15" s="282">
        <f>班线包车!C23+公交!C26+出租!C26+网约车!C26</f>
        <v>23556.4490380032</v>
      </c>
      <c r="D15" s="280">
        <f t="shared" si="0"/>
        <v>-0.256003594450898</v>
      </c>
      <c r="E15" s="280"/>
      <c r="F15" s="280"/>
      <c r="G15" s="280"/>
      <c r="H15" s="280"/>
      <c r="I15" s="670"/>
      <c r="J15" s="282">
        <f>班线包车!V23+公交!V26+出租!V26+网约车!V26</f>
        <v>31662.0468355859</v>
      </c>
      <c r="K15" s="280">
        <f t="shared" si="1"/>
        <v>0.142129661626656</v>
      </c>
      <c r="L15" s="282">
        <f>班线包车!X23+公交!X26+出租!X26+网约车!X26</f>
        <v>30357.2415328691</v>
      </c>
      <c r="M15" s="280">
        <f t="shared" si="2"/>
        <v>0.0812719618800941</v>
      </c>
      <c r="N15" s="282">
        <f>班线包车!Z23+公交!Z26+出租!Z26+网约车!Z26</f>
        <v>28005.1622540219</v>
      </c>
      <c r="O15" s="280">
        <f t="shared" si="3"/>
        <v>0.0626423034211012</v>
      </c>
      <c r="P15" s="282">
        <f>班线包车!AB23+公交!AB26+出租!AB26+网约车!AB26</f>
        <v>28298.8609201563</v>
      </c>
      <c r="Q15" s="280">
        <f t="shared" si="4"/>
        <v>0.0259054318922518</v>
      </c>
      <c r="R15" s="282">
        <f>班线包车!AD23+公交!AD26+出租!AD26+网约车!AD26</f>
        <v>28427.7166118599</v>
      </c>
      <c r="S15" s="280">
        <f t="shared" si="5"/>
        <v>0.0373796051145052</v>
      </c>
      <c r="T15" s="282">
        <f>班线包车!AF23+公交!AF26+出租!AF26+网约车!AF26</f>
        <v>26022.9315352502</v>
      </c>
      <c r="U15" s="280">
        <f t="shared" si="6"/>
        <v>0.024145133232109</v>
      </c>
      <c r="V15" s="282">
        <f>班线包车!AH23+公交!AH26+出租!AH26+网约车!AH26</f>
        <v>26532.1247909019</v>
      </c>
      <c r="W15" s="280">
        <f t="shared" si="7"/>
        <v>0.00479619824544875</v>
      </c>
      <c r="X15" s="282">
        <f>班线包车!AJ23+公交!AJ26+出租!AJ26+网约车!AJ26</f>
        <v>26817.4438473906</v>
      </c>
      <c r="Y15" s="280">
        <f t="shared" si="8"/>
        <v>-0.0101647350068098</v>
      </c>
      <c r="Z15" s="282">
        <f>班线包车!AL23+公交!AL26+出租!AL26+网约车!AL26</f>
        <v>25424.9944235136</v>
      </c>
      <c r="AA15" s="280">
        <f t="shared" si="9"/>
        <v>0.0229263482272108</v>
      </c>
      <c r="AB15" s="282">
        <f>班线包车!AN23+公交!AN26+出租!AN26+网约车!AN26</f>
        <v>28005.4635304508</v>
      </c>
      <c r="AC15" s="280">
        <f t="shared" si="10"/>
        <v>0.0196657592314762</v>
      </c>
      <c r="AD15" s="282">
        <f>班线包车!AP23+公交!AP26+出租!AP26+网约车!AP26</f>
        <v>27517.6317027397</v>
      </c>
      <c r="AE15" s="280">
        <f t="shared" si="11"/>
        <v>-0.0401126712983613</v>
      </c>
      <c r="AF15" s="282">
        <f>班线包车!AR23+公交!AR26+出租!AR26+网约车!AR26</f>
        <v>23220.2432023313</v>
      </c>
      <c r="AG15" s="280">
        <f t="shared" si="12"/>
        <v>-0.272505723976198</v>
      </c>
      <c r="AH15" s="282">
        <f t="shared" si="13"/>
        <v>307071.61798474</v>
      </c>
      <c r="AI15" s="280">
        <f t="shared" si="14"/>
        <v>0.0337888044806629</v>
      </c>
      <c r="AJ15" s="281"/>
      <c r="AK15" s="282">
        <f>班线包车!AW23+公交!AW26+出租!AW26+网约车!AW26</f>
        <v>27721.9372715457</v>
      </c>
      <c r="AL15" s="281"/>
      <c r="AM15" s="282">
        <f>班线包车!AY23+公交!AY26+出租!AY26+网约车!AY26</f>
        <v>28075.4912761121</v>
      </c>
      <c r="AN15" s="281"/>
      <c r="AO15" s="282">
        <f>班线包车!BA23+公交!BA26+出租!BA26+网约车!BA26</f>
        <v>26354.2700717459</v>
      </c>
      <c r="AP15" s="281"/>
      <c r="AQ15" s="282">
        <f>班线包车!BC23+公交!BC26+出租!BC26+网约车!BC26</f>
        <v>27584.2782779305</v>
      </c>
      <c r="AR15" s="281"/>
      <c r="AS15" s="282">
        <f>班线包车!BE23+公交!BE26+出租!BE26+网约车!BE26</f>
        <v>27403.3887611682</v>
      </c>
      <c r="AT15" s="281"/>
      <c r="AU15" s="282">
        <f>班线包车!BG23+公交!BG26+出租!BG26+网约车!BG26</f>
        <v>25409.4177581298</v>
      </c>
      <c r="AV15" s="281"/>
      <c r="AW15" s="282">
        <f>班线包车!BI23+公交!BI26+出租!BI26+网约车!BI26</f>
        <v>26405.4788794301</v>
      </c>
      <c r="AX15" s="281"/>
      <c r="AY15" s="282">
        <f>班线包车!BK23+公交!BK26+出租!BK26+网约车!BK26</f>
        <v>27092.8353391967</v>
      </c>
      <c r="AZ15" s="281"/>
      <c r="BA15" s="282">
        <f>班线包车!BM23+公交!BM26+出租!BM26+网约车!BM26</f>
        <v>24855.1564514655</v>
      </c>
      <c r="BB15" s="281"/>
      <c r="BC15" s="282">
        <f>班线包车!BO23+公交!BO26+出租!BO26+网约车!BO26</f>
        <v>27465.3368291572</v>
      </c>
      <c r="BD15" s="281"/>
      <c r="BE15" s="282">
        <f>班线包车!BQ23+公交!BQ26+出租!BQ26+网约车!BQ26</f>
        <v>28667.5642858632</v>
      </c>
      <c r="BF15" s="281"/>
      <c r="BG15" s="282">
        <f>班线包车!BS23+公交!BS26+出租!BS26+网约车!BS26</f>
        <v>31918.1112039039</v>
      </c>
      <c r="BH15" s="281"/>
      <c r="BI15" s="282">
        <f>班线包车!BU23+公交!BU26+出租!BU26+网约车!BU26</f>
        <v>328953.266405649</v>
      </c>
      <c r="BJ15" s="281"/>
      <c r="BK15" s="281"/>
      <c r="BL15" s="281"/>
      <c r="BM15" s="281"/>
      <c r="BN15" s="281"/>
      <c r="BO15" s="281"/>
      <c r="BP15" s="281"/>
      <c r="BQ15" s="281"/>
      <c r="BR15" s="281"/>
      <c r="BS15" s="281"/>
      <c r="BT15" s="281"/>
      <c r="BU15" s="281"/>
      <c r="BV15" s="281"/>
      <c r="BW15" s="281"/>
      <c r="BX15" s="281"/>
      <c r="BY15" s="281"/>
      <c r="BZ15" s="281"/>
      <c r="CA15" s="281"/>
      <c r="CB15" s="281"/>
      <c r="CC15" s="281"/>
      <c r="CD15" s="281"/>
      <c r="CE15" s="281"/>
      <c r="CF15" s="281"/>
      <c r="CG15" s="281"/>
      <c r="CH15" s="281"/>
      <c r="CI15" s="281"/>
      <c r="CJ15" s="281"/>
      <c r="CK15" s="281"/>
      <c r="CL15" s="282"/>
    </row>
    <row r="16" s="256" customFormat="1" ht="31.2" customHeight="1" spans="1:274">
      <c r="A16" s="283" t="s">
        <v>98</v>
      </c>
      <c r="B16" s="277" t="s">
        <v>193</v>
      </c>
      <c r="C16" s="282">
        <f>班线包车!C26+公交!C29+出租!C29+网约车!C29</f>
        <v>452.551294302533</v>
      </c>
      <c r="D16" s="280">
        <f t="shared" si="0"/>
        <v>0.119034143071535</v>
      </c>
      <c r="E16" s="280"/>
      <c r="F16" s="280"/>
      <c r="G16" s="280"/>
      <c r="H16" s="280"/>
      <c r="I16" s="670"/>
      <c r="J16" s="282">
        <f>班线包车!V26+公交!V29+出租!V29+网约车!V29</f>
        <v>404.412409669973</v>
      </c>
      <c r="K16" s="280">
        <f t="shared" si="1"/>
        <v>-0.0127262489995267</v>
      </c>
      <c r="L16" s="282">
        <f>班线包车!X26+公交!X29+出租!X29+网约车!X29</f>
        <v>396.258586687644</v>
      </c>
      <c r="M16" s="280">
        <f t="shared" si="2"/>
        <v>-0.0362296831915718</v>
      </c>
      <c r="N16" s="282">
        <f>班线包车!Z26+公交!Z29+出租!Z29+网约车!Z29</f>
        <v>435.279627698015</v>
      </c>
      <c r="O16" s="280">
        <f t="shared" si="3"/>
        <v>0.0641499087705235</v>
      </c>
      <c r="P16" s="282">
        <f>班线包车!AB26+公交!AB29+出租!AB29+网约车!AB29</f>
        <v>418.836602813807</v>
      </c>
      <c r="Q16" s="280">
        <f t="shared" si="4"/>
        <v>-0.0178163468335962</v>
      </c>
      <c r="R16" s="282">
        <f>班线包车!AD26+公交!AD29+出租!AD29+网约车!AD29</f>
        <v>409.195350367792</v>
      </c>
      <c r="S16" s="280">
        <f t="shared" si="5"/>
        <v>-0.0564842371445653</v>
      </c>
      <c r="T16" s="282">
        <f>班线包车!AF26+公交!AF29+出租!AF29+网约车!AF29</f>
        <v>417.770699327158</v>
      </c>
      <c r="U16" s="280">
        <f t="shared" si="6"/>
        <v>-0.0335227788105712</v>
      </c>
      <c r="V16" s="282">
        <f>班线包车!AH26+公交!AH29+出租!AH29+网约车!AH29</f>
        <v>394.086861385696</v>
      </c>
      <c r="W16" s="280">
        <f t="shared" si="7"/>
        <v>-0.0546682781513071</v>
      </c>
      <c r="X16" s="282">
        <f>班线包车!AJ26+公交!AJ29+出租!AJ29+网约车!AJ29</f>
        <v>386.840498544864</v>
      </c>
      <c r="Y16" s="280">
        <f t="shared" si="8"/>
        <v>0.00368260020600752</v>
      </c>
      <c r="Z16" s="282">
        <f>班线包车!AL26+公交!AL29+出租!AL29+网约车!AL29</f>
        <v>403.684638968253</v>
      </c>
      <c r="AA16" s="280">
        <f t="shared" si="9"/>
        <v>-0.0114006367134961</v>
      </c>
      <c r="AB16" s="282">
        <f>班线包车!AN26+公交!AN29+出租!AN29+网约车!AN29</f>
        <v>436.57021972279</v>
      </c>
      <c r="AC16" s="280">
        <f t="shared" si="10"/>
        <v>-0.0170990991035943</v>
      </c>
      <c r="AD16" s="282">
        <f>班线包车!AP26+公交!AP29+出租!AP29+网约车!AP29</f>
        <v>420.683624680528</v>
      </c>
      <c r="AE16" s="280">
        <f t="shared" si="11"/>
        <v>-0.00935217173213865</v>
      </c>
      <c r="AF16" s="282">
        <f>班线包车!AR26+公交!AR29+出租!AR29+网约车!AR29</f>
        <v>466.650197646913</v>
      </c>
      <c r="AG16" s="280">
        <f t="shared" si="12"/>
        <v>0.0875590940809852</v>
      </c>
      <c r="AH16" s="282">
        <f t="shared" si="13"/>
        <v>4523.61911986652</v>
      </c>
      <c r="AI16" s="280">
        <f t="shared" si="14"/>
        <v>-0.0169604224787677</v>
      </c>
      <c r="AJ16" s="281"/>
      <c r="AK16" s="282">
        <f>班线包车!AW26+公交!AW29+出租!AW29+网约车!AW29</f>
        <v>409.625404564999</v>
      </c>
      <c r="AL16" s="281"/>
      <c r="AM16" s="282">
        <f>班线包车!AY26+公交!AY29+出租!AY29+网约车!AY29</f>
        <v>411.154587121829</v>
      </c>
      <c r="AN16" s="281"/>
      <c r="AO16" s="282">
        <f>班线包车!BA26+公交!BA29+出租!BA29+网约车!BA29</f>
        <v>409.039764144621</v>
      </c>
      <c r="AP16" s="281"/>
      <c r="AQ16" s="282">
        <f>班线包车!BC26+公交!BC29+出租!BC29+网约车!BC29</f>
        <v>426.434100652708</v>
      </c>
      <c r="AR16" s="281"/>
      <c r="AS16" s="282">
        <f>班线包车!BE26+公交!BE29+出租!BE29+网约车!BE29</f>
        <v>433.692118857042</v>
      </c>
      <c r="AT16" s="281"/>
      <c r="AU16" s="282">
        <f>班线包车!BG26+公交!BG29+出租!BG29+网约车!BG29</f>
        <v>432.261299250295</v>
      </c>
      <c r="AV16" s="281"/>
      <c r="AW16" s="282">
        <f>班线包车!BI26+公交!BI29+出租!BI29+网约车!BI29</f>
        <v>416.876798141312</v>
      </c>
      <c r="AX16" s="281"/>
      <c r="AY16" s="282">
        <f>班线包车!BK26+公交!BK29+出租!BK29+网约车!BK29</f>
        <v>385.421146551175</v>
      </c>
      <c r="AZ16" s="281"/>
      <c r="BA16" s="282">
        <f>班线包车!BM26+公交!BM29+出租!BM29+网约车!BM29</f>
        <v>408.339974675122</v>
      </c>
      <c r="BB16" s="281"/>
      <c r="BC16" s="282">
        <f>班线包车!BO26+公交!BO29+出租!BO29+网约车!BO29</f>
        <v>444.165041790721</v>
      </c>
      <c r="BD16" s="281"/>
      <c r="BE16" s="282">
        <f>班线包车!BQ26+公交!BQ29+出租!BQ29+网约车!BQ29</f>
        <v>424.655071839293</v>
      </c>
      <c r="BF16" s="281"/>
      <c r="BG16" s="282">
        <f>班线包车!BS26+公交!BS29+出租!BS29+网约车!BS29</f>
        <v>429.080314059848</v>
      </c>
      <c r="BH16" s="281"/>
      <c r="BI16" s="282">
        <f>班线包车!BU26+公交!BU29+出租!BU29+网约车!BU29</f>
        <v>5030.74562164896</v>
      </c>
      <c r="BJ16" s="281"/>
      <c r="BK16" s="281"/>
      <c r="BL16" s="281"/>
      <c r="BM16" s="281"/>
      <c r="BN16" s="281"/>
      <c r="BO16" s="281"/>
      <c r="BP16" s="281"/>
      <c r="BQ16" s="281"/>
      <c r="BR16" s="281"/>
      <c r="BS16" s="281"/>
      <c r="BT16" s="281"/>
      <c r="BU16" s="281"/>
      <c r="BV16" s="281"/>
      <c r="BW16" s="281"/>
      <c r="BX16" s="281"/>
      <c r="BY16" s="281"/>
      <c r="BZ16" s="281"/>
      <c r="CA16" s="281"/>
      <c r="CB16" s="281"/>
      <c r="CC16" s="281"/>
      <c r="CD16" s="281"/>
      <c r="CE16" s="281"/>
      <c r="CF16" s="281"/>
      <c r="CG16" s="281"/>
      <c r="CH16" s="281"/>
      <c r="CI16" s="281"/>
      <c r="CJ16" s="281"/>
      <c r="CK16" s="281"/>
      <c r="CL16" s="282"/>
    </row>
    <row r="17" s="256" customFormat="1" ht="31.2" customHeight="1" spans="1:90">
      <c r="A17" s="29"/>
      <c r="B17" s="277" t="s">
        <v>194</v>
      </c>
      <c r="C17" s="282">
        <f>班线包车!C27+公交!C30+出租!C30+网约车!C30</f>
        <v>4811.8049417453</v>
      </c>
      <c r="D17" s="280">
        <f t="shared" si="0"/>
        <v>0.0340649759637233</v>
      </c>
      <c r="E17" s="280"/>
      <c r="F17" s="280"/>
      <c r="G17" s="280"/>
      <c r="H17" s="280"/>
      <c r="I17" s="670"/>
      <c r="J17" s="282">
        <f>班线包车!V27+公交!V30+出租!V30+网约车!V30</f>
        <v>4653.2907057033</v>
      </c>
      <c r="K17" s="280">
        <f t="shared" si="1"/>
        <v>0.0479646160922229</v>
      </c>
      <c r="L17" s="282">
        <f>班线包车!X27+公交!X30+出租!X30+网约车!X30</f>
        <v>4314.48623912789</v>
      </c>
      <c r="M17" s="280">
        <f t="shared" si="2"/>
        <v>-0.0214627355025359</v>
      </c>
      <c r="N17" s="282">
        <f>班线包车!Z27+公交!Z30+出租!Z30+网约车!Z30</f>
        <v>4570.05333057848</v>
      </c>
      <c r="O17" s="280">
        <f t="shared" si="3"/>
        <v>0.0252158534293832</v>
      </c>
      <c r="P17" s="282">
        <f>班线包车!AB27+公交!AB30+出租!AB30+网约车!AB30</f>
        <v>4517.03334582262</v>
      </c>
      <c r="Q17" s="280">
        <f t="shared" si="4"/>
        <v>-0.0535895792880026</v>
      </c>
      <c r="R17" s="282">
        <f>班线包车!AD27+公交!AD30+出租!AD30+网约车!AD30</f>
        <v>4388.19190454217</v>
      </c>
      <c r="S17" s="280">
        <f t="shared" si="5"/>
        <v>-0.0855601984321154</v>
      </c>
      <c r="T17" s="282">
        <f>班线包车!AF27+公交!AF30+出租!AF30+网约车!AF30</f>
        <v>4665.63038941029</v>
      </c>
      <c r="U17" s="280">
        <f t="shared" si="6"/>
        <v>-0.0624002453039271</v>
      </c>
      <c r="V17" s="282">
        <f>班线包车!AH27+公交!AH30+出租!AH30+网约车!AH30</f>
        <v>4167.91018672881</v>
      </c>
      <c r="W17" s="280">
        <f t="shared" si="7"/>
        <v>-0.108252932523085</v>
      </c>
      <c r="X17" s="282">
        <f>班线包车!AJ27+公交!AJ30+出租!AJ30+网约车!AJ30</f>
        <v>4085.83499993184</v>
      </c>
      <c r="Y17" s="280">
        <f t="shared" si="8"/>
        <v>-0.0659612495374302</v>
      </c>
      <c r="Z17" s="282">
        <f>班线包车!AL27+公交!AL30+出租!AL30+网约车!AL30</f>
        <v>4213.38268207694</v>
      </c>
      <c r="AA17" s="280">
        <f t="shared" si="9"/>
        <v>-0.0507305712001932</v>
      </c>
      <c r="AB17" s="282">
        <f>班线包车!AN27+公交!AN30+出租!AN30+网约车!AN30</f>
        <v>4400.72115338083</v>
      </c>
      <c r="AC17" s="280">
        <f t="shared" si="10"/>
        <v>-0.0957685328941478</v>
      </c>
      <c r="AD17" s="282">
        <f>班线包车!AP27+公交!AP30+出租!AP30+网约车!AP30</f>
        <v>4519.68704840966</v>
      </c>
      <c r="AE17" s="280">
        <f t="shared" si="11"/>
        <v>-0.0805354541773782</v>
      </c>
      <c r="AF17" s="282">
        <f>班线包车!AR27+公交!AR30+出租!AR30+网约车!AR30</f>
        <v>4968.20259489806</v>
      </c>
      <c r="AG17" s="280">
        <f t="shared" si="12"/>
        <v>0.0624233201570568</v>
      </c>
      <c r="AH17" s="282">
        <f t="shared" si="13"/>
        <v>48496.2219857128</v>
      </c>
      <c r="AI17" s="280">
        <f t="shared" si="14"/>
        <v>-0.0513996371616</v>
      </c>
      <c r="AJ17" s="281"/>
      <c r="AK17" s="282">
        <f>班线包车!AW27+公交!AW30+出租!AW30+网约车!AW30</f>
        <v>4440.31280660511</v>
      </c>
      <c r="AL17" s="281"/>
      <c r="AM17" s="282">
        <f>班线包车!AY27+公交!AY30+出租!AY30+网约车!AY30</f>
        <v>4409.11797195953</v>
      </c>
      <c r="AN17" s="281"/>
      <c r="AO17" s="282">
        <f>班线包车!BA27+公交!BA30+出租!BA30+网约车!BA30</f>
        <v>4457.64988445261</v>
      </c>
      <c r="AP17" s="281"/>
      <c r="AQ17" s="282">
        <f>班线包车!BC27+公交!BC30+出租!BC30+网约车!BC30</f>
        <v>4772.80601203058</v>
      </c>
      <c r="AR17" s="281"/>
      <c r="AS17" s="282">
        <f>班线包车!BE27+公交!BE30+出租!BE30+网约车!BE30</f>
        <v>4798.77614362175</v>
      </c>
      <c r="AT17" s="281"/>
      <c r="AU17" s="282">
        <f>班线包车!BG27+公交!BG30+出租!BG30+网约车!BG30</f>
        <v>4976.14292883713</v>
      </c>
      <c r="AV17" s="281"/>
      <c r="AW17" s="282">
        <f>班线包车!BI27+公交!BI30+出租!BI30+网约车!BI30</f>
        <v>4673.87035936253</v>
      </c>
      <c r="AX17" s="281"/>
      <c r="AY17" s="282">
        <f>班线包车!BK27+公交!BK30+出租!BK30+网约车!BK30</f>
        <v>4374.37418726834</v>
      </c>
      <c r="AZ17" s="281"/>
      <c r="BA17" s="282">
        <f>班线包车!BM27+公交!BM30+出租!BM30+网约车!BM30</f>
        <v>4438.55301166083</v>
      </c>
      <c r="BB17" s="281"/>
      <c r="BC17" s="282">
        <f>班线包车!BO27+公交!BO30+出租!BO30+网约车!BO30</f>
        <v>4866.80823823361</v>
      </c>
      <c r="BD17" s="281"/>
      <c r="BE17" s="282">
        <f>班线包车!BQ27+公交!BQ30+出租!BQ30+网约车!BQ30</f>
        <v>4915.56424763068</v>
      </c>
      <c r="BF17" s="281"/>
      <c r="BG17" s="282">
        <f>班线包车!BS27+公交!BS30+出租!BS30+网约车!BS30</f>
        <v>4676.29286804775</v>
      </c>
      <c r="BH17" s="281"/>
      <c r="BI17" s="282">
        <f>班线包车!BU27+公交!BU30+出租!BU30+网约车!BU30</f>
        <v>55800.2686597104</v>
      </c>
      <c r="BJ17" s="281"/>
      <c r="BK17" s="281"/>
      <c r="BL17" s="281"/>
      <c r="BM17" s="281"/>
      <c r="BN17" s="281"/>
      <c r="BO17" s="281"/>
      <c r="BP17" s="281"/>
      <c r="BQ17" s="281"/>
      <c r="BR17" s="281"/>
      <c r="BS17" s="281"/>
      <c r="BT17" s="281"/>
      <c r="BU17" s="281"/>
      <c r="BV17" s="281"/>
      <c r="BW17" s="281"/>
      <c r="BX17" s="281"/>
      <c r="BY17" s="281"/>
      <c r="BZ17" s="281"/>
      <c r="CA17" s="281"/>
      <c r="CB17" s="281"/>
      <c r="CC17" s="281"/>
      <c r="CD17" s="281"/>
      <c r="CE17" s="281"/>
      <c r="CF17" s="281"/>
      <c r="CG17" s="281"/>
      <c r="CH17" s="281"/>
      <c r="CI17" s="281"/>
      <c r="CJ17" s="281"/>
      <c r="CK17" s="281"/>
      <c r="CL17" s="282"/>
    </row>
    <row r="18" s="256" customFormat="1" ht="31.2" customHeight="1" spans="1:90">
      <c r="A18" s="283" t="s">
        <v>99</v>
      </c>
      <c r="B18" s="277" t="s">
        <v>193</v>
      </c>
      <c r="C18" s="282">
        <f>班线包车!C28+公交!C33+出租!C33+网约车!C33</f>
        <v>1067.68375477411</v>
      </c>
      <c r="D18" s="280">
        <f t="shared" si="0"/>
        <v>-0.00662664421381343</v>
      </c>
      <c r="E18" s="280"/>
      <c r="F18" s="280"/>
      <c r="G18" s="280"/>
      <c r="H18" s="280"/>
      <c r="I18" s="670"/>
      <c r="J18" s="282">
        <f>班线包车!V28+公交!V33+出租!V33+网约车!V33</f>
        <v>1074.80611248035</v>
      </c>
      <c r="K18" s="280">
        <f t="shared" si="1"/>
        <v>-0.0860382321344786</v>
      </c>
      <c r="L18" s="282">
        <f>班线包车!X28+公交!X33+出租!X33+网约车!X33</f>
        <v>1028.07623628164</v>
      </c>
      <c r="M18" s="280">
        <f t="shared" si="2"/>
        <v>-0.01342247102927</v>
      </c>
      <c r="N18" s="282">
        <f>班线包车!Z28+公交!Z33+出租!Z33+网约车!Z33</f>
        <v>1022.27673409476</v>
      </c>
      <c r="O18" s="280">
        <f t="shared" si="3"/>
        <v>-0.0694491681674131</v>
      </c>
      <c r="P18" s="282">
        <f>班线包车!AB28+公交!AB33+出租!AB33+网约车!AB33</f>
        <v>1061.56271862584</v>
      </c>
      <c r="Q18" s="280">
        <f t="shared" si="4"/>
        <v>-0.0143655408383819</v>
      </c>
      <c r="R18" s="282">
        <f>班线包车!AD28+公交!AD33+出租!AD33+网约车!AD33</f>
        <v>1003.84526094436</v>
      </c>
      <c r="S18" s="280">
        <f t="shared" si="5"/>
        <v>-0.0654261896229565</v>
      </c>
      <c r="T18" s="282">
        <f>班线包车!AF28+公交!AF33+出租!AF33+网约车!AF33</f>
        <v>1015.26444700953</v>
      </c>
      <c r="U18" s="280">
        <f t="shared" si="6"/>
        <v>-0.0684937128830262</v>
      </c>
      <c r="V18" s="282">
        <f>班线包车!AH28+公交!AH33+出租!AH33+网约车!AH33</f>
        <v>981.775355535776</v>
      </c>
      <c r="W18" s="280">
        <f t="shared" si="7"/>
        <v>-0.0947650865066827</v>
      </c>
      <c r="X18" s="282">
        <f>班线包车!AJ28+公交!AJ33+出租!AJ33+网约车!AJ33</f>
        <v>961.124091128446</v>
      </c>
      <c r="Y18" s="280">
        <f t="shared" si="8"/>
        <v>-0.0840010811543594</v>
      </c>
      <c r="Z18" s="282">
        <f>班线包车!AL28+公交!AL33+出租!AL33+网约车!AL33</f>
        <v>968.090192752943</v>
      </c>
      <c r="AA18" s="280">
        <f t="shared" si="9"/>
        <v>-0.081361758891821</v>
      </c>
      <c r="AB18" s="282">
        <f>班线包车!AN28+公交!AN33+出租!AN33+网约车!AN33</f>
        <v>1061.39369855027</v>
      </c>
      <c r="AC18" s="280">
        <f t="shared" si="10"/>
        <v>-0.0211974073816106</v>
      </c>
      <c r="AD18" s="282">
        <f>班线包车!AP28+公交!AP33+出租!AP33+网约车!AP33</f>
        <v>1089.80683546727</v>
      </c>
      <c r="AE18" s="280">
        <f t="shared" si="11"/>
        <v>-0.0134771846042641</v>
      </c>
      <c r="AF18" s="282">
        <f>班线包车!AR28+公交!AR33+出租!AR33+网约车!AR33</f>
        <v>1086.68015686621</v>
      </c>
      <c r="AG18" s="280">
        <f t="shared" si="12"/>
        <v>-0.0208785377665345</v>
      </c>
      <c r="AH18" s="282">
        <f t="shared" si="13"/>
        <v>11268.0216828712</v>
      </c>
      <c r="AI18" s="280">
        <f t="shared" si="14"/>
        <v>-0.0558380736930593</v>
      </c>
      <c r="AJ18" s="281"/>
      <c r="AK18" s="282">
        <f>班线包车!AW28+公交!AW33+出租!AW33+网约车!AW33</f>
        <v>1175.98585659712</v>
      </c>
      <c r="AL18" s="281"/>
      <c r="AM18" s="282">
        <f>班线包车!AY28+公交!AY33+出租!AY33+网约车!AY33</f>
        <v>1042.06330074657</v>
      </c>
      <c r="AN18" s="281"/>
      <c r="AO18" s="282">
        <f>班线包车!BA28+公交!BA33+出租!BA33+网约车!BA33</f>
        <v>1098.57161922206</v>
      </c>
      <c r="AP18" s="281"/>
      <c r="AQ18" s="282">
        <f>班线包车!BC28+公交!BC33+出租!BC33+网约车!BC33</f>
        <v>1077.03490757497</v>
      </c>
      <c r="AR18" s="281"/>
      <c r="AS18" s="282">
        <f>班线包车!BE28+公交!BE33+出租!BE33+网约车!BE33</f>
        <v>1074.12089852954</v>
      </c>
      <c r="AT18" s="281"/>
      <c r="AU18" s="282">
        <f>班线包车!BG28+公交!BG33+出租!BG33+网约车!BG33</f>
        <v>1089.91690238806</v>
      </c>
      <c r="AV18" s="281"/>
      <c r="AW18" s="282">
        <f>班线包车!BI28+公交!BI33+出租!BI33+网约车!BI33</f>
        <v>1084.55312637809</v>
      </c>
      <c r="AX18" s="281"/>
      <c r="AY18" s="282">
        <f>班线包车!BK28+公交!BK33+出租!BK33+网约车!BK33</f>
        <v>1049.26334666385</v>
      </c>
      <c r="AZ18" s="281"/>
      <c r="BA18" s="282">
        <f>班线包车!BM28+公交!BM33+出租!BM33+网约车!BM33</f>
        <v>1053.83180171676</v>
      </c>
      <c r="BB18" s="281"/>
      <c r="BC18" s="282">
        <f>班线包车!BO28+公交!BO33+出租!BO33+网约车!BO33</f>
        <v>1084.37973760464</v>
      </c>
      <c r="BD18" s="281"/>
      <c r="BE18" s="282">
        <f>班线包车!BQ28+公交!BQ33+出租!BQ33+网约车!BQ33</f>
        <v>1104.69501410375</v>
      </c>
      <c r="BF18" s="281"/>
      <c r="BG18" s="282">
        <f>班线包车!BS28+公交!BS33+出租!BS33+网约车!BS33</f>
        <v>1109.85224896142</v>
      </c>
      <c r="BH18" s="281"/>
      <c r="BI18" s="282">
        <f>班线包车!BU28+公交!BU33+出租!BU33+网约车!BU33</f>
        <v>13044.2687604868</v>
      </c>
      <c r="BJ18" s="281"/>
      <c r="BK18" s="281"/>
      <c r="BL18" s="281"/>
      <c r="BM18" s="281"/>
      <c r="BN18" s="281"/>
      <c r="BO18" s="281"/>
      <c r="BP18" s="281"/>
      <c r="BQ18" s="281"/>
      <c r="BR18" s="281"/>
      <c r="BS18" s="281"/>
      <c r="BT18" s="281"/>
      <c r="BU18" s="281"/>
      <c r="BV18" s="281"/>
      <c r="BW18" s="281"/>
      <c r="BX18" s="281"/>
      <c r="BY18" s="281"/>
      <c r="BZ18" s="281"/>
      <c r="CA18" s="281"/>
      <c r="CB18" s="281"/>
      <c r="CC18" s="281"/>
      <c r="CD18" s="281"/>
      <c r="CE18" s="281"/>
      <c r="CF18" s="281"/>
      <c r="CG18" s="281"/>
      <c r="CH18" s="281"/>
      <c r="CI18" s="281"/>
      <c r="CJ18" s="281"/>
      <c r="CK18" s="281"/>
      <c r="CL18" s="282"/>
    </row>
    <row r="19" s="256" customFormat="1" ht="31.2" customHeight="1" spans="1:90">
      <c r="A19" s="29"/>
      <c r="B19" s="277" t="s">
        <v>194</v>
      </c>
      <c r="C19" s="282">
        <f>班线包车!C29+公交!C34+出租!C34+网约车!C34</f>
        <v>7861.21407680274</v>
      </c>
      <c r="D19" s="280">
        <f t="shared" si="0"/>
        <v>-0.127749805597824</v>
      </c>
      <c r="E19" s="280"/>
      <c r="F19" s="280"/>
      <c r="G19" s="280"/>
      <c r="H19" s="280"/>
      <c r="I19" s="670"/>
      <c r="J19" s="282">
        <f>班线包车!V29+公交!V34+出租!V34+网约车!V34</f>
        <v>9012.56787015183</v>
      </c>
      <c r="K19" s="280">
        <f t="shared" si="1"/>
        <v>-0.0608753621685899</v>
      </c>
      <c r="L19" s="282">
        <f>班线包车!X29+公交!X34+出租!X34+网约车!X34</f>
        <v>8668.1825739061</v>
      </c>
      <c r="M19" s="280">
        <f t="shared" si="2"/>
        <v>-0.0394551621259077</v>
      </c>
      <c r="N19" s="282">
        <f>班线包车!Z29+公交!Z34+出租!Z34+网约车!Z34</f>
        <v>8949.6477091529</v>
      </c>
      <c r="O19" s="280">
        <f t="shared" si="3"/>
        <v>-0.0486778757651491</v>
      </c>
      <c r="P19" s="282">
        <f>班线包车!AB29+公交!AB34+出租!AB34+网约车!AB34</f>
        <v>9452.62637003417</v>
      </c>
      <c r="Q19" s="280">
        <f t="shared" si="4"/>
        <v>-0.0227440144164172</v>
      </c>
      <c r="R19" s="282">
        <f>班线包车!AD29+公交!AD34+出租!AD34+网约车!AD34</f>
        <v>8439.72944949561</v>
      </c>
      <c r="S19" s="280">
        <f t="shared" si="5"/>
        <v>-0.128470841468593</v>
      </c>
      <c r="T19" s="282">
        <f>班线包车!AF29+公交!AF34+出租!AF34+网约车!AF34</f>
        <v>8439.59812811034</v>
      </c>
      <c r="U19" s="280">
        <f t="shared" si="6"/>
        <v>-0.0961180379861624</v>
      </c>
      <c r="V19" s="282">
        <f>班线包车!AH29+公交!AH34+出租!AH34+网约车!AH34</f>
        <v>8369.64342341168</v>
      </c>
      <c r="W19" s="280">
        <f t="shared" si="7"/>
        <v>-0.116684561348428</v>
      </c>
      <c r="X19" s="282">
        <f>班线包车!AJ29+公交!AJ34+出租!AJ34+网约车!AJ34</f>
        <v>8235.24762285725</v>
      </c>
      <c r="Y19" s="280">
        <f t="shared" si="8"/>
        <v>-0.120871757910559</v>
      </c>
      <c r="Z19" s="282">
        <f>班线包车!AL29+公交!AL34+出租!AL34+网约车!AL34</f>
        <v>8526.35732977415</v>
      </c>
      <c r="AA19" s="280">
        <f t="shared" si="9"/>
        <v>-0.078384306793029</v>
      </c>
      <c r="AB19" s="282">
        <f>班线包车!AN29+公交!AN34+出租!AN34+网约车!AN34</f>
        <v>8812.57556389693</v>
      </c>
      <c r="AC19" s="280">
        <f t="shared" si="10"/>
        <v>-0.144771852387171</v>
      </c>
      <c r="AD19" s="282">
        <f>班线包车!AP29+公交!AP34+出租!AP34+网约车!AP34</f>
        <v>8712.45054482527</v>
      </c>
      <c r="AE19" s="280">
        <f t="shared" si="11"/>
        <v>-0.112395886474061</v>
      </c>
      <c r="AF19" s="282">
        <f>班线包车!AR29+公交!AR34+出租!AR34+网约车!AR34</f>
        <v>8388.2467704506</v>
      </c>
      <c r="AG19" s="280">
        <f t="shared" si="12"/>
        <v>-0.0862526745819281</v>
      </c>
      <c r="AH19" s="282">
        <f t="shared" si="13"/>
        <v>95618.6265856162</v>
      </c>
      <c r="AI19" s="280">
        <f t="shared" si="14"/>
        <v>-0.0887949517850792</v>
      </c>
      <c r="AJ19" s="281"/>
      <c r="AK19" s="282">
        <f>班线包车!AW29+公交!AW34+出租!AW34+网约车!AW34</f>
        <v>9596.7750254783</v>
      </c>
      <c r="AL19" s="281"/>
      <c r="AM19" s="282">
        <f>班线包车!AY29+公交!AY34+出租!AY34+网约车!AY34</f>
        <v>9024.23523829537</v>
      </c>
      <c r="AN19" s="281"/>
      <c r="AO19" s="282">
        <f>班线包车!BA29+公交!BA34+出租!BA34+网约车!BA34</f>
        <v>9407.58916581605</v>
      </c>
      <c r="AP19" s="281"/>
      <c r="AQ19" s="282">
        <f>班线包车!BC29+公交!BC34+出租!BC34+网约车!BC34</f>
        <v>9672.62059222835</v>
      </c>
      <c r="AR19" s="281"/>
      <c r="AS19" s="282">
        <f>班线包车!BE29+公交!BE34+出租!BE34+网约车!BE34</f>
        <v>9683.81765185826</v>
      </c>
      <c r="AT19" s="281"/>
      <c r="AU19" s="282">
        <f>班线包车!BG29+公交!BG34+出租!BG34+网约车!BG34</f>
        <v>9337.05780487867</v>
      </c>
      <c r="AV19" s="281"/>
      <c r="AW19" s="282">
        <f>班线包车!BI29+公交!BI34+出租!BI34+网约车!BI34</f>
        <v>9475.259977555</v>
      </c>
      <c r="AX19" s="281"/>
      <c r="AY19" s="282">
        <f>班线包车!BK29+公交!BK34+出租!BK34+网约车!BK34</f>
        <v>9367.5157145269</v>
      </c>
      <c r="AZ19" s="281"/>
      <c r="BA19" s="282">
        <f>班线包车!BM29+公交!BM34+出租!BM34+网约车!BM34</f>
        <v>9251.53227383179</v>
      </c>
      <c r="BB19" s="281"/>
      <c r="BC19" s="282">
        <f>班线包车!BO29+公交!BO34+出租!BO34+网约车!BO34</f>
        <v>10304.3563153238</v>
      </c>
      <c r="BD19" s="281"/>
      <c r="BE19" s="282">
        <f>班线包车!BQ29+公交!BQ34+出租!BQ34+网约车!BQ34</f>
        <v>9815.69419525979</v>
      </c>
      <c r="BF19" s="281"/>
      <c r="BG19" s="282">
        <f>班线包车!BS29+公交!BS34+出租!BS34+网约车!BS34</f>
        <v>9180.05069575736</v>
      </c>
      <c r="BH19" s="281"/>
      <c r="BI19" s="282">
        <f>班线包车!BU29+公交!BU34+出租!BU34+网约车!BU34</f>
        <v>114116.50465081</v>
      </c>
      <c r="BJ19" s="281"/>
      <c r="BK19" s="281"/>
      <c r="BL19" s="281"/>
      <c r="BM19" s="281"/>
      <c r="BN19" s="281"/>
      <c r="BO19" s="281"/>
      <c r="BP19" s="281"/>
      <c r="BQ19" s="281"/>
      <c r="BR19" s="281"/>
      <c r="BS19" s="281"/>
      <c r="BT19" s="281"/>
      <c r="BU19" s="281"/>
      <c r="BV19" s="281"/>
      <c r="BW19" s="281"/>
      <c r="BX19" s="281"/>
      <c r="BY19" s="281"/>
      <c r="BZ19" s="281"/>
      <c r="CA19" s="281"/>
      <c r="CB19" s="281"/>
      <c r="CC19" s="281"/>
      <c r="CD19" s="281"/>
      <c r="CE19" s="281"/>
      <c r="CF19" s="281"/>
      <c r="CG19" s="281"/>
      <c r="CH19" s="281"/>
      <c r="CI19" s="281"/>
      <c r="CJ19" s="281"/>
      <c r="CK19" s="281"/>
      <c r="CL19" s="282"/>
    </row>
    <row r="20" s="256" customFormat="1" ht="31.2" customHeight="1" spans="1:90">
      <c r="A20" s="283" t="s">
        <v>100</v>
      </c>
      <c r="B20" s="277" t="s">
        <v>193</v>
      </c>
      <c r="C20" s="282">
        <f>班线包车!C32+公交!C37+出租!C37+网约车!C37</f>
        <v>1120.34959805074</v>
      </c>
      <c r="D20" s="280">
        <f t="shared" si="0"/>
        <v>0.197253103798347</v>
      </c>
      <c r="E20" s="280"/>
      <c r="F20" s="280"/>
      <c r="G20" s="280"/>
      <c r="H20" s="280"/>
      <c r="I20" s="670"/>
      <c r="J20" s="282">
        <f>班线包车!V32+公交!V37+出租!V37+网约车!V37</f>
        <v>935.766710060201</v>
      </c>
      <c r="K20" s="280">
        <f t="shared" si="1"/>
        <v>-0.0576381033903072</v>
      </c>
      <c r="L20" s="282">
        <f>班线包车!X32+公交!X37+出租!X37+网约车!X37</f>
        <v>915.952470576334</v>
      </c>
      <c r="M20" s="280">
        <f t="shared" si="2"/>
        <v>0.0156285508666369</v>
      </c>
      <c r="N20" s="282">
        <f>班线包车!Z32+公交!Z37+出租!Z37+网约车!Z37</f>
        <v>910.881460014097</v>
      </c>
      <c r="O20" s="280">
        <f t="shared" si="3"/>
        <v>-0.0233276190736423</v>
      </c>
      <c r="P20" s="282">
        <f>班线包车!AB32+公交!AB37+出租!AB37+网约车!AB37</f>
        <v>915.309345248112</v>
      </c>
      <c r="Q20" s="280">
        <f t="shared" si="4"/>
        <v>-0.00994320053020092</v>
      </c>
      <c r="R20" s="282">
        <f>班线包车!AD32+公交!AD37+出租!AD37+网约车!AD37</f>
        <v>1206.21082632949</v>
      </c>
      <c r="S20" s="280">
        <f t="shared" si="5"/>
        <v>0.250279247334389</v>
      </c>
      <c r="T20" s="282">
        <f>班线包车!AF32+公交!AF37+出租!AF37+网约车!AF37</f>
        <v>1089.73087167872</v>
      </c>
      <c r="U20" s="280">
        <f t="shared" si="6"/>
        <v>0.130360768098069</v>
      </c>
      <c r="V20" s="282">
        <f>班线包车!AH32+公交!AH37+出租!AH37+网约车!AH37</f>
        <v>1039.19645159304</v>
      </c>
      <c r="W20" s="280">
        <f t="shared" si="7"/>
        <v>0.116629682404728</v>
      </c>
      <c r="X20" s="282">
        <f>班线包车!AJ32+公交!AJ37+出租!AJ37+网约车!AJ37</f>
        <v>1021.20686304869</v>
      </c>
      <c r="Y20" s="280">
        <f t="shared" si="8"/>
        <v>0.166833567098133</v>
      </c>
      <c r="Z20" s="282">
        <f>班线包车!AL32+公交!AL37+出租!AL37+网约车!AL37</f>
        <v>1023.43607848641</v>
      </c>
      <c r="AA20" s="280">
        <f t="shared" si="9"/>
        <v>0.16205851018444</v>
      </c>
      <c r="AB20" s="282">
        <f>班线包车!AN32+公交!AN37+出租!AN37+网约车!AN37</f>
        <v>1127.50926032627</v>
      </c>
      <c r="AC20" s="280">
        <f t="shared" si="10"/>
        <v>0.19244246415075</v>
      </c>
      <c r="AD20" s="282">
        <f>班线包车!AP32+公交!AP37+出租!AP37+网约车!AP37</f>
        <v>1108.15171028511</v>
      </c>
      <c r="AE20" s="280">
        <f t="shared" si="11"/>
        <v>0.238151100447433</v>
      </c>
      <c r="AF20" s="282">
        <f>班线包车!AR32+公交!AR37+出租!AR37+网约车!AR37</f>
        <v>1113.61558653897</v>
      </c>
      <c r="AG20" s="280">
        <f t="shared" si="12"/>
        <v>0.247909918523741</v>
      </c>
      <c r="AH20" s="282">
        <f t="shared" si="13"/>
        <v>11293.3520476465</v>
      </c>
      <c r="AI20" s="280">
        <f t="shared" si="14"/>
        <v>0.106332559395558</v>
      </c>
      <c r="AJ20" s="281"/>
      <c r="AK20" s="282">
        <f>班线包车!AW32+公交!AW37+出租!AW37+网约车!AW37</f>
        <v>993.00142909723</v>
      </c>
      <c r="AL20" s="281"/>
      <c r="AM20" s="282">
        <f>班线包车!AY32+公交!AY37+出租!AY37+网约车!AY37</f>
        <v>901.857740996697</v>
      </c>
      <c r="AN20" s="281"/>
      <c r="AO20" s="282">
        <f>班线包车!BA32+公交!BA37+出租!BA37+网约车!BA37</f>
        <v>932.637676464386</v>
      </c>
      <c r="AP20" s="281"/>
      <c r="AQ20" s="282">
        <f>班线包车!BC32+公交!BC37+出租!BC37+网约车!BC37</f>
        <v>924.501852558645</v>
      </c>
      <c r="AR20" s="281"/>
      <c r="AS20" s="282">
        <f>班线包车!BE32+公交!BE37+出租!BE37+网约车!BE37</f>
        <v>964.753137270054</v>
      </c>
      <c r="AT20" s="281"/>
      <c r="AU20" s="282">
        <f>班线包车!BG32+公交!BG37+出租!BG37+网约车!BG37</f>
        <v>964.055815129081</v>
      </c>
      <c r="AV20" s="281"/>
      <c r="AW20" s="282">
        <f>班线包车!BI32+公交!BI37+出租!BI37+网约车!BI37</f>
        <v>930.654511489494</v>
      </c>
      <c r="AX20" s="281"/>
      <c r="AY20" s="282">
        <f>班线包车!BK32+公交!BK37+出租!BK37+网约车!BK37</f>
        <v>875.194965112621</v>
      </c>
      <c r="AZ20" s="281"/>
      <c r="BA20" s="282">
        <f>班线包车!BM32+公交!BM37+出租!BM37+网约车!BM37</f>
        <v>880.70959380864</v>
      </c>
      <c r="BB20" s="281"/>
      <c r="BC20" s="282">
        <f>班线包车!BO32+公交!BO37+出租!BO37+网约车!BO37</f>
        <v>945.546048738943</v>
      </c>
      <c r="BD20" s="281"/>
      <c r="BE20" s="282">
        <f>班线包车!BQ32+公交!BQ37+出租!BQ37+网约车!BQ37</f>
        <v>895.005229882404</v>
      </c>
      <c r="BF20" s="281"/>
      <c r="BG20" s="282">
        <f>班线包车!BS32+公交!BS37+出租!BS37+网约车!BS37</f>
        <v>892.384594439606</v>
      </c>
      <c r="BH20" s="281"/>
      <c r="BI20" s="282">
        <f>班线包车!BU32+公交!BU37+出租!BU37+网约车!BU37</f>
        <v>11100.3025949878</v>
      </c>
      <c r="BJ20" s="281"/>
      <c r="BK20" s="281"/>
      <c r="BL20" s="281"/>
      <c r="BM20" s="281"/>
      <c r="BN20" s="281"/>
      <c r="BO20" s="281"/>
      <c r="BP20" s="281"/>
      <c r="BQ20" s="281"/>
      <c r="BR20" s="281"/>
      <c r="BS20" s="281"/>
      <c r="BT20" s="281"/>
      <c r="BU20" s="281"/>
      <c r="BV20" s="281"/>
      <c r="BW20" s="281"/>
      <c r="BX20" s="281"/>
      <c r="BY20" s="281"/>
      <c r="BZ20" s="281"/>
      <c r="CA20" s="281"/>
      <c r="CB20" s="281"/>
      <c r="CC20" s="281"/>
      <c r="CD20" s="281"/>
      <c r="CE20" s="281"/>
      <c r="CF20" s="281"/>
      <c r="CG20" s="281"/>
      <c r="CH20" s="281"/>
      <c r="CI20" s="281"/>
      <c r="CJ20" s="281"/>
      <c r="CK20" s="281"/>
      <c r="CL20" s="282"/>
    </row>
    <row r="21" s="256" customFormat="1" ht="31.2" customHeight="1" spans="1:90">
      <c r="A21" s="29"/>
      <c r="B21" s="277" t="s">
        <v>194</v>
      </c>
      <c r="C21" s="282">
        <f>班线包车!C33+公交!C38+出租!C38+网约车!C38</f>
        <v>10601.8944989589</v>
      </c>
      <c r="D21" s="280">
        <f t="shared" si="0"/>
        <v>0.103272542414153</v>
      </c>
      <c r="E21" s="280"/>
      <c r="F21" s="280"/>
      <c r="G21" s="280"/>
      <c r="H21" s="280"/>
      <c r="I21" s="670"/>
      <c r="J21" s="282">
        <f>班线包车!V33+公交!V38+出租!V38+网约车!V38</f>
        <v>9609.49728320083</v>
      </c>
      <c r="K21" s="280">
        <f t="shared" si="1"/>
        <v>-0.0332295648856866</v>
      </c>
      <c r="L21" s="282">
        <f>班线包车!X33+公交!X38+出租!X38+网约车!X38</f>
        <v>9488.14382706203</v>
      </c>
      <c r="M21" s="280">
        <f t="shared" si="2"/>
        <v>0.00931698341880516</v>
      </c>
      <c r="N21" s="282">
        <f>班线包车!Z33+公交!Z38+出租!Z38+网约车!Z38</f>
        <v>10186.3770103945</v>
      </c>
      <c r="O21" s="280">
        <f t="shared" si="3"/>
        <v>-0.0254336177875526</v>
      </c>
      <c r="P21" s="282">
        <f>班线包车!AB33+公交!AB38+出租!AB38+网约车!AB38</f>
        <v>10730.2237901375</v>
      </c>
      <c r="Q21" s="280">
        <f t="shared" si="4"/>
        <v>-0.0540775795523145</v>
      </c>
      <c r="R21" s="282">
        <f>班线包车!AD33+公交!AD38+出租!AD38+网约车!AD38</f>
        <v>13507.6462066346</v>
      </c>
      <c r="S21" s="280">
        <f t="shared" si="5"/>
        <v>0.20974036414975</v>
      </c>
      <c r="T21" s="282">
        <f>班线包车!AF33+公交!AF38+出租!AF38+网约车!AF38</f>
        <v>11701.708594022</v>
      </c>
      <c r="U21" s="280">
        <f t="shared" si="6"/>
        <v>0.133136272069821</v>
      </c>
      <c r="V21" s="282">
        <f>班线包车!AH33+公交!AH38+出租!AH38+网约车!AH38</f>
        <v>11040.7766435939</v>
      </c>
      <c r="W21" s="280">
        <f t="shared" si="7"/>
        <v>0.0933426902754084</v>
      </c>
      <c r="X21" s="282">
        <f>班线包车!AJ33+公交!AJ38+出租!AJ38+网约车!AJ38</f>
        <v>10650.4984084535</v>
      </c>
      <c r="Y21" s="280">
        <f t="shared" si="8"/>
        <v>0.128946391376142</v>
      </c>
      <c r="Z21" s="282">
        <f>班线包车!AL33+公交!AL38+出租!AL38+网约车!AL38</f>
        <v>10788.0774745848</v>
      </c>
      <c r="AA21" s="280">
        <f t="shared" si="9"/>
        <v>0.125813033435366</v>
      </c>
      <c r="AB21" s="282">
        <f>班线包车!AN33+公交!AN38+出租!AN38+网约车!AN38</f>
        <v>11640.4446727657</v>
      </c>
      <c r="AC21" s="280">
        <f t="shared" si="10"/>
        <v>0.0678410174764148</v>
      </c>
      <c r="AD21" s="282">
        <f>班线包车!AP33+公交!AP38+出租!AP38+网约车!AP38</f>
        <v>12042.4965542913</v>
      </c>
      <c r="AE21" s="280">
        <f t="shared" si="11"/>
        <v>0.147621209774028</v>
      </c>
      <c r="AF21" s="282">
        <f>班线包车!AR33+公交!AR38+出租!AR38+网约车!AR38</f>
        <v>10820.9919466437</v>
      </c>
      <c r="AG21" s="280">
        <f t="shared" si="12"/>
        <v>0.146917132116293</v>
      </c>
      <c r="AH21" s="282">
        <f t="shared" si="13"/>
        <v>121385.890465141</v>
      </c>
      <c r="AI21" s="280">
        <f t="shared" si="14"/>
        <v>0.072902713515127</v>
      </c>
      <c r="AJ21" s="281"/>
      <c r="AK21" s="282">
        <f>班线包车!AW33+公交!AW38+出租!AW38+网约车!AW38</f>
        <v>9939.79225488477</v>
      </c>
      <c r="AL21" s="281"/>
      <c r="AM21" s="282">
        <f>班线包车!AY33+公交!AY38+出租!AY38+网约车!AY38</f>
        <v>9400.55897496478</v>
      </c>
      <c r="AN21" s="281"/>
      <c r="AO21" s="282">
        <f>班线包车!BA33+公交!BA38+出租!BA38+网约车!BA38</f>
        <v>10452.2146426491</v>
      </c>
      <c r="AP21" s="281"/>
      <c r="AQ21" s="282">
        <f>班线包车!BC33+公交!BC38+出租!BC38+网约车!BC38</f>
        <v>11343.6615500235</v>
      </c>
      <c r="AR21" s="281"/>
      <c r="AS21" s="282">
        <f>班线包车!BE33+公交!BE38+出租!BE38+网约车!BE38</f>
        <v>11165.7398619813</v>
      </c>
      <c r="AT21" s="281"/>
      <c r="AU21" s="282">
        <f>班线包车!BG33+公交!BG38+出租!BG38+网约车!BG38</f>
        <v>10326.832599443</v>
      </c>
      <c r="AV21" s="281"/>
      <c r="AW21" s="282">
        <f>班线包车!BI33+公交!BI38+出租!BI38+网约车!BI38</f>
        <v>10098.1848982891</v>
      </c>
      <c r="AX21" s="281"/>
      <c r="AY21" s="282">
        <f>班线包车!BK33+公交!BK38+出租!BK38+网约车!BK38</f>
        <v>9434.01607889545</v>
      </c>
      <c r="AZ21" s="281"/>
      <c r="BA21" s="282">
        <f>班线包车!BM33+公交!BM38+出租!BM38+网约车!BM38</f>
        <v>9582.47697814037</v>
      </c>
      <c r="BB21" s="281"/>
      <c r="BC21" s="282">
        <f>班线包车!BO33+公交!BO38+出租!BO38+网约车!BO38</f>
        <v>10900.9154754845</v>
      </c>
      <c r="BD21" s="281"/>
      <c r="BE21" s="282">
        <f>班线包车!BQ33+公交!BQ38+出租!BQ38+网约车!BQ38</f>
        <v>10493.4419577889</v>
      </c>
      <c r="BF21" s="281"/>
      <c r="BG21" s="282">
        <f>班线包车!BS33+公交!BS38+出租!BS38+网约车!BS38</f>
        <v>9434.85073474905</v>
      </c>
      <c r="BH21" s="281"/>
      <c r="BI21" s="282">
        <f>班线包车!BU33+公交!BU38+出租!BU38+网约车!BU38</f>
        <v>122572.686007294</v>
      </c>
      <c r="BJ21" s="281"/>
      <c r="BK21" s="281"/>
      <c r="BL21" s="281"/>
      <c r="BM21" s="281"/>
      <c r="BN21" s="281"/>
      <c r="BO21" s="281"/>
      <c r="BP21" s="281"/>
      <c r="BQ21" s="281"/>
      <c r="BR21" s="281"/>
      <c r="BS21" s="281"/>
      <c r="BT21" s="281"/>
      <c r="BU21" s="281"/>
      <c r="BV21" s="281"/>
      <c r="BW21" s="281"/>
      <c r="BX21" s="281"/>
      <c r="BY21" s="281"/>
      <c r="BZ21" s="281"/>
      <c r="CA21" s="281"/>
      <c r="CB21" s="281"/>
      <c r="CC21" s="281"/>
      <c r="CD21" s="281"/>
      <c r="CE21" s="281"/>
      <c r="CF21" s="281"/>
      <c r="CG21" s="281"/>
      <c r="CH21" s="281"/>
      <c r="CI21" s="281"/>
      <c r="CJ21" s="281"/>
      <c r="CK21" s="281"/>
      <c r="CL21" s="282"/>
    </row>
    <row r="22" s="256" customFormat="1" ht="31.2" customHeight="1" spans="1:90">
      <c r="A22" s="283" t="s">
        <v>101</v>
      </c>
      <c r="B22" s="277" t="s">
        <v>193</v>
      </c>
      <c r="C22" s="282">
        <f>班线包车!C36+公交!C41+出租!C41+网约车!C41</f>
        <v>1939.3088858768</v>
      </c>
      <c r="D22" s="280">
        <f t="shared" si="0"/>
        <v>0.0430551698992974</v>
      </c>
      <c r="E22" s="280"/>
      <c r="F22" s="280"/>
      <c r="G22" s="280"/>
      <c r="H22" s="280"/>
      <c r="I22" s="670"/>
      <c r="J22" s="282">
        <f>班线包车!V36+公交!V41+出租!V41+网约车!V41</f>
        <v>1859.2582078511</v>
      </c>
      <c r="K22" s="280">
        <f t="shared" si="1"/>
        <v>-0.0792840873560183</v>
      </c>
      <c r="L22" s="282">
        <f>班线包车!X36+公交!X41+出租!X41+网约车!X41</f>
        <v>1714.2520800936</v>
      </c>
      <c r="M22" s="280">
        <f t="shared" si="2"/>
        <v>-0.114533160503062</v>
      </c>
      <c r="N22" s="282">
        <f>班线包车!Z36+公交!Z41+出租!Z41+网约车!Z41</f>
        <v>1817.75098075133</v>
      </c>
      <c r="O22" s="280">
        <f t="shared" si="3"/>
        <v>-0.0711243372057159</v>
      </c>
      <c r="P22" s="282">
        <f>班线包车!AB36+公交!AB41+出租!AB41+网约车!AB41</f>
        <v>1860.05544503523</v>
      </c>
      <c r="Q22" s="280">
        <f t="shared" si="4"/>
        <v>0.00948295513977748</v>
      </c>
      <c r="R22" s="282">
        <f>班线包车!AD36+公交!AD41+出租!AD41+网约车!AD41</f>
        <v>1860.55041455203</v>
      </c>
      <c r="S22" s="280">
        <f t="shared" si="5"/>
        <v>-0.00128933352621008</v>
      </c>
      <c r="T22" s="282">
        <f>班线包车!AF36+公交!AF41+出租!AF41+网约车!AF41</f>
        <v>1787.78480038433</v>
      </c>
      <c r="U22" s="280">
        <f t="shared" si="6"/>
        <v>-0.0188327734801741</v>
      </c>
      <c r="V22" s="282">
        <f>班线包车!AH36+公交!AH41+出租!AH41+网约车!AH41</f>
        <v>1771.32180901767</v>
      </c>
      <c r="W22" s="280">
        <f t="shared" si="7"/>
        <v>-0.040269219978485</v>
      </c>
      <c r="X22" s="282">
        <f>班线包车!AJ36+公交!AJ41+出租!AJ41+网约车!AJ41</f>
        <v>1706.4198478339</v>
      </c>
      <c r="Y22" s="280">
        <f t="shared" si="8"/>
        <v>-0.0405526569739116</v>
      </c>
      <c r="Z22" s="282">
        <f>班线包车!AL36+公交!AL41+出租!AL41+网约车!AL41</f>
        <v>1803.91033767142</v>
      </c>
      <c r="AA22" s="280">
        <f t="shared" si="9"/>
        <v>0.0748560527603848</v>
      </c>
      <c r="AB22" s="282">
        <f>班线包车!AN36+公交!AN41+出租!AN41+网约车!AN41</f>
        <v>2031.75433567174</v>
      </c>
      <c r="AC22" s="280">
        <f t="shared" si="10"/>
        <v>0.15278351087191</v>
      </c>
      <c r="AD22" s="282">
        <f>班线包车!AP36+公交!AP41+出租!AP41+网约车!AP41</f>
        <v>1865.3844399233</v>
      </c>
      <c r="AE22" s="280">
        <f t="shared" si="11"/>
        <v>0.0865943502484683</v>
      </c>
      <c r="AF22" s="282">
        <f>班线包车!AR36+公交!AR41+出租!AR41+网约车!AR41</f>
        <v>1959.75242018921</v>
      </c>
      <c r="AG22" s="280">
        <f t="shared" si="12"/>
        <v>0.0528997190765141</v>
      </c>
      <c r="AH22" s="282">
        <f t="shared" si="13"/>
        <v>20078.4426987857</v>
      </c>
      <c r="AI22" s="280">
        <f t="shared" si="14"/>
        <v>-0.00707904270910187</v>
      </c>
      <c r="AJ22" s="281"/>
      <c r="AK22" s="282">
        <f>班线包车!AW36+公交!AW41+出租!AW41+网约车!AW41</f>
        <v>2019.36143637612</v>
      </c>
      <c r="AL22" s="281"/>
      <c r="AM22" s="282">
        <f>班线包车!AY36+公交!AY41+出租!AY41+网约车!AY41</f>
        <v>1935.98676272002</v>
      </c>
      <c r="AN22" s="281"/>
      <c r="AO22" s="282">
        <f>班线包车!BA36+公交!BA41+出租!BA41+网约车!BA41</f>
        <v>1956.93681464653</v>
      </c>
      <c r="AP22" s="281"/>
      <c r="AQ22" s="282">
        <f>班线包车!BC36+公交!BC41+出租!BC41+网约车!BC41</f>
        <v>1842.58231955752</v>
      </c>
      <c r="AR22" s="281"/>
      <c r="AS22" s="282">
        <f>班线包车!BE36+公交!BE41+出租!BE41+网约车!BE41</f>
        <v>1862.95238151526</v>
      </c>
      <c r="AT22" s="281"/>
      <c r="AU22" s="282">
        <f>班线包车!BG36+公交!BG41+出租!BG41+网约车!BG41</f>
        <v>1822.09999688387</v>
      </c>
      <c r="AV22" s="281"/>
      <c r="AW22" s="282">
        <f>班线包车!BI36+公交!BI41+出租!BI41+网约车!BI41</f>
        <v>1845.64447227373</v>
      </c>
      <c r="AX22" s="281"/>
      <c r="AY22" s="282">
        <f>班线包车!BK36+公交!BK41+出租!BK41+网约车!BK41</f>
        <v>1778.54455508926</v>
      </c>
      <c r="AZ22" s="281"/>
      <c r="BA22" s="282">
        <f>班线包车!BM36+公交!BM41+出租!BM41+网约车!BM41</f>
        <v>1678.28085727267</v>
      </c>
      <c r="BB22" s="281"/>
      <c r="BC22" s="282">
        <f>班线包车!BO36+公交!BO41+出租!BO41+网约车!BO41</f>
        <v>1762.47692347284</v>
      </c>
      <c r="BD22" s="281"/>
      <c r="BE22" s="282">
        <f>班线包车!BQ36+公交!BQ41+出租!BQ41+网约车!BQ41</f>
        <v>1716.72569390476</v>
      </c>
      <c r="BF22" s="281"/>
      <c r="BG22" s="282">
        <f>班线包车!BS36+公交!BS41+出租!BS41+网约车!BS41</f>
        <v>1861.29066679597</v>
      </c>
      <c r="BH22" s="281"/>
      <c r="BI22" s="282">
        <f>班线包车!BU36+公交!BU41+出租!BU41+网约车!BU41</f>
        <v>22082.8828805085</v>
      </c>
      <c r="BJ22" s="281"/>
      <c r="BK22" s="281"/>
      <c r="BL22" s="281"/>
      <c r="BM22" s="281"/>
      <c r="BN22" s="281"/>
      <c r="BO22" s="281"/>
      <c r="BP22" s="281"/>
      <c r="BQ22" s="281"/>
      <c r="BR22" s="281"/>
      <c r="BS22" s="281"/>
      <c r="BT22" s="281"/>
      <c r="BU22" s="281"/>
      <c r="BV22" s="281"/>
      <c r="BW22" s="281"/>
      <c r="BX22" s="281"/>
      <c r="BY22" s="281"/>
      <c r="BZ22" s="281"/>
      <c r="CA22" s="281"/>
      <c r="CB22" s="281"/>
      <c r="CC22" s="281"/>
      <c r="CD22" s="281"/>
      <c r="CE22" s="281"/>
      <c r="CF22" s="281"/>
      <c r="CG22" s="281"/>
      <c r="CH22" s="281"/>
      <c r="CI22" s="281"/>
      <c r="CJ22" s="281"/>
      <c r="CK22" s="281"/>
      <c r="CL22" s="282"/>
    </row>
    <row r="23" s="256" customFormat="1" ht="31.2" customHeight="1" spans="1:90">
      <c r="A23" s="29"/>
      <c r="B23" s="277" t="s">
        <v>194</v>
      </c>
      <c r="C23" s="282">
        <f>班线包车!C37+公交!C42+出租!C42+网约车!C42</f>
        <v>17710.6127493509</v>
      </c>
      <c r="D23" s="280">
        <f t="shared" si="0"/>
        <v>-0.101149467564703</v>
      </c>
      <c r="E23" s="280"/>
      <c r="F23" s="280"/>
      <c r="G23" s="280"/>
      <c r="H23" s="280"/>
      <c r="I23" s="670"/>
      <c r="J23" s="282">
        <f>班线包车!V37+公交!V42+出租!V42+网约车!V42</f>
        <v>19703.6238064706</v>
      </c>
      <c r="K23" s="280">
        <f t="shared" si="1"/>
        <v>0.026586025981751</v>
      </c>
      <c r="L23" s="282">
        <f>班线包车!X37+公交!X42+出租!X42+网约车!X42</f>
        <v>21215.8247047962</v>
      </c>
      <c r="M23" s="280">
        <f t="shared" si="2"/>
        <v>-0.0690958168461564</v>
      </c>
      <c r="N23" s="282">
        <f>班线包车!Z37+公交!Z42+出租!Z42+网约车!Z42</f>
        <v>19594.8134882826</v>
      </c>
      <c r="O23" s="280">
        <f t="shared" si="3"/>
        <v>-0.00603974306689414</v>
      </c>
      <c r="P23" s="282">
        <f>班线包车!AB37+公交!AB42+出租!AB42+网约车!AB42</f>
        <v>20012.9001518257</v>
      </c>
      <c r="Q23" s="280">
        <f t="shared" si="4"/>
        <v>-0.00297390048859769</v>
      </c>
      <c r="R23" s="282">
        <f>班线包车!AD37+公交!AD42+出租!AD42+网约车!AD42</f>
        <v>19779.0992232018</v>
      </c>
      <c r="S23" s="280">
        <f t="shared" si="5"/>
        <v>-0.0439280110566415</v>
      </c>
      <c r="T23" s="282">
        <f>班线包车!AF37+公交!AF42+出租!AF42+网约车!AF42</f>
        <v>18716.3570053689</v>
      </c>
      <c r="U23" s="280">
        <f t="shared" si="6"/>
        <v>-0.0265433746859695</v>
      </c>
      <c r="V23" s="282">
        <f>班线包车!AH37+公交!AH42+出租!AH42+网约车!AH42</f>
        <v>19430.7088707386</v>
      </c>
      <c r="W23" s="280">
        <f t="shared" si="7"/>
        <v>-0.0142541391517798</v>
      </c>
      <c r="X23" s="282">
        <f>班线包车!AJ37+公交!AJ42+出租!AJ42+网约车!AJ42</f>
        <v>18264.8873432743</v>
      </c>
      <c r="Y23" s="280">
        <f t="shared" si="8"/>
        <v>-0.0338421021031204</v>
      </c>
      <c r="Z23" s="282">
        <f>班线包车!AL37+公交!AL42+出租!AL42+网约车!AL42</f>
        <v>18482.7425755755</v>
      </c>
      <c r="AA23" s="280">
        <f t="shared" si="9"/>
        <v>0.0323762010819515</v>
      </c>
      <c r="AB23" s="282">
        <f>班线包车!AN37+公交!AN42+出租!AN42+网约车!AN42</f>
        <v>20387.781614665</v>
      </c>
      <c r="AC23" s="280">
        <f t="shared" si="10"/>
        <v>0.0635436596441652</v>
      </c>
      <c r="AD23" s="282">
        <f>班线包车!AP37+公交!AP42+出租!AP42+网约车!AP42</f>
        <v>18554.0691884692</v>
      </c>
      <c r="AE23" s="280">
        <f t="shared" si="11"/>
        <v>0.0652406707855064</v>
      </c>
      <c r="AF23" s="282">
        <f>班线包车!AR37+公交!AR42+出租!AR42+网约车!AR42</f>
        <v>18538.0367487158</v>
      </c>
      <c r="AG23" s="280">
        <f t="shared" si="12"/>
        <v>0.0230077011812184</v>
      </c>
      <c r="AH23" s="282">
        <f t="shared" si="13"/>
        <v>214142.807972668</v>
      </c>
      <c r="AI23" s="280">
        <f t="shared" si="14"/>
        <v>-0.00302150018204372</v>
      </c>
      <c r="AJ23" s="281"/>
      <c r="AK23" s="282">
        <f>班线包车!AW37+公交!AW42+出租!AW42+网约车!AW42</f>
        <v>19193.3489330595</v>
      </c>
      <c r="AL23" s="281"/>
      <c r="AM23" s="282">
        <f>班线包车!AY37+公交!AY42+出租!AY42+网约车!AY42</f>
        <v>22790.5568464827</v>
      </c>
      <c r="AN23" s="281"/>
      <c r="AO23" s="282">
        <f>班线包车!BA37+公交!BA42+出租!BA42+网约车!BA42</f>
        <v>19713.8802599039</v>
      </c>
      <c r="AP23" s="281"/>
      <c r="AQ23" s="282">
        <f>班线包车!BC37+公交!BC42+出租!BC42+网约车!BC42</f>
        <v>20072.5940490756</v>
      </c>
      <c r="AR23" s="281"/>
      <c r="AS23" s="282">
        <f>班线包车!BE37+公交!BE42+出租!BE42+网约车!BE42</f>
        <v>20687.876490411</v>
      </c>
      <c r="AT23" s="281"/>
      <c r="AU23" s="282">
        <f>班线包车!BG37+公交!BG42+出租!BG42+网约车!BG42</f>
        <v>19226.6984667459</v>
      </c>
      <c r="AV23" s="281"/>
      <c r="AW23" s="282">
        <f>班线包车!BI37+公交!BI42+出租!BI42+网约车!BI42</f>
        <v>19711.6819278539</v>
      </c>
      <c r="AX23" s="281"/>
      <c r="AY23" s="282">
        <f>班线包车!BK37+公交!BK42+出租!BK42+网约车!BK42</f>
        <v>18904.6608044431</v>
      </c>
      <c r="AZ23" s="281"/>
      <c r="BA23" s="282">
        <f>班线包车!BM37+公交!BM42+出租!BM42+网约车!BM42</f>
        <v>17903.107952513</v>
      </c>
      <c r="BB23" s="281"/>
      <c r="BC23" s="282">
        <f>班线包车!BO37+公交!BO42+出租!BO42+网约车!BO42</f>
        <v>19169.6705911314</v>
      </c>
      <c r="BD23" s="281"/>
      <c r="BE23" s="282">
        <f>班线包车!BQ37+公交!BQ42+出租!BQ42+网约车!BQ42</f>
        <v>17417.7251182003</v>
      </c>
      <c r="BF23" s="281"/>
      <c r="BG23" s="282">
        <f>班线包车!BS37+公交!BS42+出租!BS42+网约车!BS42</f>
        <v>18121.1116273229</v>
      </c>
      <c r="BH23" s="281"/>
      <c r="BI23" s="282">
        <f>班线包车!BU37+公交!BU42+出租!BU42+网约车!BU42</f>
        <v>232912.913067143</v>
      </c>
      <c r="BJ23" s="281"/>
      <c r="BK23" s="281"/>
      <c r="BL23" s="281"/>
      <c r="BM23" s="281"/>
      <c r="BN23" s="281"/>
      <c r="BO23" s="281"/>
      <c r="BP23" s="281"/>
      <c r="BQ23" s="281"/>
      <c r="BR23" s="281"/>
      <c r="BS23" s="281"/>
      <c r="BT23" s="281"/>
      <c r="BU23" s="281"/>
      <c r="BV23" s="281"/>
      <c r="BW23" s="281"/>
      <c r="BX23" s="281"/>
      <c r="BY23" s="281"/>
      <c r="BZ23" s="281"/>
      <c r="CA23" s="281"/>
      <c r="CB23" s="281"/>
      <c r="CC23" s="281"/>
      <c r="CD23" s="281"/>
      <c r="CE23" s="281"/>
      <c r="CF23" s="281"/>
      <c r="CG23" s="281"/>
      <c r="CH23" s="281"/>
      <c r="CI23" s="281"/>
      <c r="CJ23" s="281"/>
      <c r="CK23" s="281"/>
      <c r="CL23" s="282"/>
    </row>
    <row r="24" s="256" customFormat="1" ht="31.2" customHeight="1" spans="1:90">
      <c r="A24" s="283" t="s">
        <v>102</v>
      </c>
      <c r="B24" s="277" t="s">
        <v>193</v>
      </c>
      <c r="C24" s="282">
        <f>班线包车!C38+公交!C45+出租!C45+网约车!C45</f>
        <v>1260.29868301541</v>
      </c>
      <c r="D24" s="280">
        <f t="shared" si="0"/>
        <v>-0.0554233469593044</v>
      </c>
      <c r="E24" s="280"/>
      <c r="F24" s="280"/>
      <c r="G24" s="280"/>
      <c r="H24" s="280"/>
      <c r="I24" s="670"/>
      <c r="J24" s="282">
        <f>班线包车!V38+公交!V45+出租!V45+网约车!V45</f>
        <v>1334.24712431582</v>
      </c>
      <c r="K24" s="280">
        <f t="shared" si="1"/>
        <v>-0.0760280337804027</v>
      </c>
      <c r="L24" s="282">
        <f>班线包车!X38+公交!X45+出租!X45+网约车!X45</f>
        <v>1309.02409462874</v>
      </c>
      <c r="M24" s="280">
        <f t="shared" si="2"/>
        <v>-0.0438203192432443</v>
      </c>
      <c r="N24" s="282">
        <f>班线包车!Z38+公交!Z45+出租!Z45+网约车!Z45</f>
        <v>1286.96536277605</v>
      </c>
      <c r="O24" s="280">
        <f t="shared" si="3"/>
        <v>-0.0720718858865192</v>
      </c>
      <c r="P24" s="282">
        <f>班线包车!AB38+公交!AB45+出租!AB45+网约车!AB45</f>
        <v>1265.94770182632</v>
      </c>
      <c r="Q24" s="280">
        <f t="shared" si="4"/>
        <v>-0.0831384255914751</v>
      </c>
      <c r="R24" s="282">
        <f>班线包车!AD38+公交!AD45+出租!AD45+网约车!AD45</f>
        <v>1231.72538078674</v>
      </c>
      <c r="S24" s="280">
        <f t="shared" si="5"/>
        <v>-0.0127084352306439</v>
      </c>
      <c r="T24" s="282">
        <f>班线包车!AF38+公交!AF45+出租!AF45+网约车!AF45</f>
        <v>1258.14094718492</v>
      </c>
      <c r="U24" s="280">
        <f t="shared" si="6"/>
        <v>-0.0252648908319849</v>
      </c>
      <c r="V24" s="282">
        <f>班线包车!AH38+公交!AH45+出租!AH45+网约车!AH45</f>
        <v>1184.05944537429</v>
      </c>
      <c r="W24" s="280">
        <f t="shared" si="7"/>
        <v>-0.0611392115937003</v>
      </c>
      <c r="X24" s="282">
        <f>班线包车!AJ38+公交!AJ45+出租!AJ45+网约车!AJ45</f>
        <v>1211.20123988816</v>
      </c>
      <c r="Y24" s="280">
        <f t="shared" si="8"/>
        <v>-0.101158040260132</v>
      </c>
      <c r="Z24" s="282">
        <f>班线包车!AL38+公交!AL45+出租!AL45+网约车!AL45</f>
        <v>1243.6219578301</v>
      </c>
      <c r="AA24" s="280">
        <f t="shared" si="9"/>
        <v>-0.117998483014325</v>
      </c>
      <c r="AB24" s="282">
        <f>班线包车!AN38+公交!AN45+出租!AN45+网约车!AN45</f>
        <v>1296.54294047127</v>
      </c>
      <c r="AC24" s="280">
        <f t="shared" si="10"/>
        <v>-0.117702150715109</v>
      </c>
      <c r="AD24" s="282">
        <f>班线包车!AP38+公交!AP45+出租!AP45+网约车!AP45</f>
        <v>1263.54625051587</v>
      </c>
      <c r="AE24" s="280">
        <f t="shared" si="11"/>
        <v>-0.0870640569163434</v>
      </c>
      <c r="AF24" s="282">
        <f>班线包车!AR38+公交!AR45+出租!AR45+网约车!AR45</f>
        <v>1230.82921798603</v>
      </c>
      <c r="AG24" s="280">
        <f t="shared" si="12"/>
        <v>-0.114285799056065</v>
      </c>
      <c r="AH24" s="282">
        <f t="shared" si="13"/>
        <v>13885.0224455983</v>
      </c>
      <c r="AI24" s="280">
        <f t="shared" si="14"/>
        <v>-0.073793257541251</v>
      </c>
      <c r="AJ24" s="281"/>
      <c r="AK24" s="282">
        <f>班线包车!AW38+公交!AW45+出租!AW45+网约车!AW45</f>
        <v>1444.03420568575</v>
      </c>
      <c r="AL24" s="281"/>
      <c r="AM24" s="282">
        <f>班线包车!AY38+公交!AY45+出租!AY45+网约车!AY45</f>
        <v>1369.01475839011</v>
      </c>
      <c r="AN24" s="281"/>
      <c r="AO24" s="282">
        <f>班线包车!BA38+公交!BA45+出租!BA45+网约车!BA45</f>
        <v>1386.92355927333</v>
      </c>
      <c r="AP24" s="281"/>
      <c r="AQ24" s="282">
        <f>班线包车!BC38+公交!BC45+出租!BC45+网约车!BC45</f>
        <v>1380.74027438983</v>
      </c>
      <c r="AR24" s="281"/>
      <c r="AS24" s="282">
        <f>班线包车!BE38+公交!BE45+出租!BE45+网约车!BE45</f>
        <v>1247.58017260533</v>
      </c>
      <c r="AT24" s="281"/>
      <c r="AU24" s="282">
        <f>班线包车!BG38+公交!BG45+出租!BG45+网约车!BG45</f>
        <v>1290.75164662818</v>
      </c>
      <c r="AV24" s="281"/>
      <c r="AW24" s="282">
        <f>班线包车!BI38+公交!BI45+出租!BI45+网约车!BI45</f>
        <v>1261.1661494397</v>
      </c>
      <c r="AX24" s="281"/>
      <c r="AY24" s="282">
        <f>班线包车!BK38+公交!BK45+出租!BK45+网约车!BK45</f>
        <v>1347.51301579055</v>
      </c>
      <c r="AZ24" s="281"/>
      <c r="BA24" s="282">
        <f>班线包车!BM38+公交!BM45+出租!BM45+网约车!BM45</f>
        <v>1409.99979464922</v>
      </c>
      <c r="BB24" s="281"/>
      <c r="BC24" s="282">
        <f>班线包车!BO38+公交!BO45+出租!BO45+网约车!BO45</f>
        <v>1469.50708484909</v>
      </c>
      <c r="BD24" s="281"/>
      <c r="BE24" s="282">
        <f>班线包车!BQ38+公交!BQ45+出租!BQ45+网约车!BQ45</f>
        <v>1384.04699704115</v>
      </c>
      <c r="BF24" s="281"/>
      <c r="BG24" s="282">
        <f>班线包车!BS38+公交!BS45+出租!BS45+网约车!BS45</f>
        <v>1389.64602427543</v>
      </c>
      <c r="BH24" s="281"/>
      <c r="BI24" s="282">
        <f>班线包车!BU38+公交!BU45+出租!BU45+网约车!BU45</f>
        <v>16380.9236830177</v>
      </c>
      <c r="BJ24" s="281"/>
      <c r="BK24" s="281"/>
      <c r="BL24" s="281"/>
      <c r="BM24" s="281"/>
      <c r="BN24" s="281"/>
      <c r="BO24" s="281"/>
      <c r="BP24" s="281"/>
      <c r="BQ24" s="281"/>
      <c r="BR24" s="281"/>
      <c r="BS24" s="281"/>
      <c r="BT24" s="281"/>
      <c r="BU24" s="281"/>
      <c r="BV24" s="281"/>
      <c r="BW24" s="281"/>
      <c r="BX24" s="281"/>
      <c r="BY24" s="281"/>
      <c r="BZ24" s="281"/>
      <c r="CA24" s="281"/>
      <c r="CB24" s="281"/>
      <c r="CC24" s="281"/>
      <c r="CD24" s="281"/>
      <c r="CE24" s="281"/>
      <c r="CF24" s="281"/>
      <c r="CG24" s="281"/>
      <c r="CH24" s="281"/>
      <c r="CI24" s="281"/>
      <c r="CJ24" s="281"/>
      <c r="CK24" s="281"/>
      <c r="CL24" s="282"/>
    </row>
    <row r="25" s="256" customFormat="1" ht="31.2" customHeight="1" spans="1:90">
      <c r="A25" s="29"/>
      <c r="B25" s="277" t="s">
        <v>194</v>
      </c>
      <c r="C25" s="282">
        <f>班线包车!C39+公交!C46+出租!C46+网约车!C46</f>
        <v>19096.054617013</v>
      </c>
      <c r="D25" s="280">
        <f t="shared" si="0"/>
        <v>0.0160413590854931</v>
      </c>
      <c r="E25" s="280"/>
      <c r="F25" s="280"/>
      <c r="G25" s="280"/>
      <c r="H25" s="280"/>
      <c r="I25" s="670"/>
      <c r="J25" s="282">
        <f>班线包车!V39+公交!V46+出租!V46+网约车!V46</f>
        <v>18794.5642628178</v>
      </c>
      <c r="K25" s="280">
        <f t="shared" si="1"/>
        <v>0.0761932732830741</v>
      </c>
      <c r="L25" s="282">
        <f>班线包车!X39+公交!X46+出租!X46+网约车!X46</f>
        <v>20310.057722116</v>
      </c>
      <c r="M25" s="280">
        <f t="shared" si="2"/>
        <v>0.184666155892469</v>
      </c>
      <c r="N25" s="282">
        <f>班线包车!Z39+公交!Z46+出租!Z46+网约车!Z46</f>
        <v>20086.9786574948</v>
      </c>
      <c r="O25" s="280">
        <f t="shared" si="3"/>
        <v>0.192870917744203</v>
      </c>
      <c r="P25" s="282">
        <f>班线包车!AB39+公交!AB46+出租!AB46+网约车!AB46</f>
        <v>20147.2809841075</v>
      </c>
      <c r="Q25" s="280">
        <f t="shared" si="4"/>
        <v>0.1716808495398</v>
      </c>
      <c r="R25" s="282">
        <f>班线包车!AD39+公交!AD46+出租!AD46+网约车!AD46</f>
        <v>19772.7233303733</v>
      </c>
      <c r="S25" s="280">
        <f t="shared" si="5"/>
        <v>0.208500770783635</v>
      </c>
      <c r="T25" s="282">
        <f>班线包车!AF39+公交!AF46+出租!AF46+网约车!AF46</f>
        <v>19355.5513733313</v>
      </c>
      <c r="U25" s="280">
        <f t="shared" si="6"/>
        <v>0.20306477409054</v>
      </c>
      <c r="V25" s="282">
        <f>班线包车!AH39+公交!AH46+出租!AH46+网约车!AH46</f>
        <v>18941.7485144806</v>
      </c>
      <c r="W25" s="280">
        <f t="shared" si="7"/>
        <v>0.207066656651553</v>
      </c>
      <c r="X25" s="282">
        <f>班线包车!AJ39+公交!AJ46+出租!AJ46+网约车!AJ46</f>
        <v>19252.0235889803</v>
      </c>
      <c r="Y25" s="280">
        <f t="shared" si="8"/>
        <v>0.0299531968215654</v>
      </c>
      <c r="Z25" s="282">
        <f>班线包车!AL39+公交!AL46+出租!AL46+网约车!AL46</f>
        <v>19938.9648621014</v>
      </c>
      <c r="AA25" s="280">
        <f t="shared" si="9"/>
        <v>-0.0314786171511081</v>
      </c>
      <c r="AB25" s="282">
        <f>班线包车!AN39+公交!AN46+出租!AN46+网约车!AN46</f>
        <v>21203.0752241592</v>
      </c>
      <c r="AC25" s="280">
        <f t="shared" si="10"/>
        <v>-0.0300814188985798</v>
      </c>
      <c r="AD25" s="282">
        <f>班线包车!AP39+公交!AP46+出租!AP46+网约车!AP46</f>
        <v>20136.7843354021</v>
      </c>
      <c r="AE25" s="280">
        <f t="shared" si="11"/>
        <v>0.0296267222838191</v>
      </c>
      <c r="AF25" s="282">
        <f>班线包车!AR39+公交!AR46+出租!AR46+网约车!AR46</f>
        <v>19285.9180300901</v>
      </c>
      <c r="AG25" s="280">
        <f t="shared" si="12"/>
        <v>0.0391651420112127</v>
      </c>
      <c r="AH25" s="282">
        <f t="shared" si="13"/>
        <v>217939.752855364</v>
      </c>
      <c r="AI25" s="280">
        <f t="shared" si="14"/>
        <v>0.103593531961607</v>
      </c>
      <c r="AJ25" s="281"/>
      <c r="AK25" s="282">
        <f>班线包车!AW39+公交!AW46+出租!AW46+网约车!AW46</f>
        <v>17463.930252493</v>
      </c>
      <c r="AL25" s="281"/>
      <c r="AM25" s="282">
        <f>班线包车!AY39+公交!AY46+出租!AY46+网约车!AY46</f>
        <v>17144.1191436885</v>
      </c>
      <c r="AN25" s="281"/>
      <c r="AO25" s="282">
        <f>班线包车!BA39+公交!BA46+出租!BA46+网约车!BA46</f>
        <v>16839.1888499391</v>
      </c>
      <c r="AP25" s="281"/>
      <c r="AQ25" s="282">
        <f>班线包车!BC39+公交!BC46+出租!BC46+网约车!BC46</f>
        <v>17195.1952547664</v>
      </c>
      <c r="AR25" s="281"/>
      <c r="AS25" s="282">
        <f>班线包车!BE39+公交!BE46+出租!BE46+网约车!BE46</f>
        <v>16361.365924121</v>
      </c>
      <c r="AT25" s="281"/>
      <c r="AU25" s="282">
        <f>班线包车!BG39+公交!BG46+出租!BG46+网约车!BG46</f>
        <v>16088.536369925</v>
      </c>
      <c r="AV25" s="281"/>
      <c r="AW25" s="282">
        <f>班线包车!BI39+公交!BI46+出租!BI46+网约车!BI46</f>
        <v>15692.3798781964</v>
      </c>
      <c r="AX25" s="281"/>
      <c r="AY25" s="282">
        <f>班线包车!BK39+公交!BK46+出租!BK46+网约车!BK46</f>
        <v>18692.1344080411</v>
      </c>
      <c r="AZ25" s="281"/>
      <c r="BA25" s="282">
        <f>班线包车!BM39+公交!BM46+出租!BM46+网约车!BM46</f>
        <v>20587.0156459026</v>
      </c>
      <c r="BB25" s="281"/>
      <c r="BC25" s="282">
        <f>班线包车!BO39+公交!BO46+出租!BO46+网约车!BO46</f>
        <v>21860.6753569783</v>
      </c>
      <c r="BD25" s="281"/>
      <c r="BE25" s="282">
        <f>班线包车!BQ39+公交!BQ46+出租!BQ46+网约车!BQ46</f>
        <v>19557.3637509491</v>
      </c>
      <c r="BF25" s="281"/>
      <c r="BG25" s="282">
        <f>班线包车!BS39+公交!BS46+出租!BS46+网约车!BS46</f>
        <v>18559.0501936621</v>
      </c>
      <c r="BH25" s="281"/>
      <c r="BI25" s="282">
        <f>班线包车!BU39+公交!BU46+出租!BU46+网约车!BU46</f>
        <v>216040.955028663</v>
      </c>
      <c r="BJ25" s="281"/>
      <c r="BK25" s="281"/>
      <c r="BL25" s="281"/>
      <c r="BM25" s="281"/>
      <c r="BN25" s="281"/>
      <c r="BO25" s="281"/>
      <c r="BP25" s="281"/>
      <c r="BQ25" s="281"/>
      <c r="BR25" s="281"/>
      <c r="BS25" s="281"/>
      <c r="BT25" s="281"/>
      <c r="BU25" s="281"/>
      <c r="BV25" s="281"/>
      <c r="BW25" s="281"/>
      <c r="BX25" s="281"/>
      <c r="BY25" s="281"/>
      <c r="BZ25" s="281"/>
      <c r="CA25" s="281"/>
      <c r="CB25" s="281"/>
      <c r="CC25" s="281"/>
      <c r="CD25" s="281"/>
      <c r="CE25" s="281"/>
      <c r="CF25" s="281"/>
      <c r="CG25" s="281"/>
      <c r="CH25" s="281"/>
      <c r="CI25" s="281"/>
      <c r="CJ25" s="281"/>
      <c r="CK25" s="281"/>
      <c r="CL25" s="282"/>
    </row>
    <row r="26" s="256" customFormat="1" ht="31.2" customHeight="1" spans="1:90">
      <c r="A26" s="283" t="s">
        <v>103</v>
      </c>
      <c r="B26" s="277" t="s">
        <v>193</v>
      </c>
      <c r="C26" s="282">
        <f>班线包车!C42+公交!C49+出租!C49+网约车!C49</f>
        <v>1096.36137024862</v>
      </c>
      <c r="D26" s="280">
        <f t="shared" si="0"/>
        <v>-0.0943475408730415</v>
      </c>
      <c r="E26" s="280"/>
      <c r="F26" s="280"/>
      <c r="G26" s="280"/>
      <c r="H26" s="280"/>
      <c r="I26" s="670"/>
      <c r="J26" s="282">
        <f>班线包车!V42+公交!V49+出租!V49+网约车!V49</f>
        <v>1210.57626377507</v>
      </c>
      <c r="K26" s="280">
        <f t="shared" si="1"/>
        <v>7.67146544089492e-5</v>
      </c>
      <c r="L26" s="282">
        <f>班线包车!X42+公交!X49+出租!X49+网约车!X49</f>
        <v>1032.52629267424</v>
      </c>
      <c r="M26" s="280">
        <f t="shared" si="2"/>
        <v>-0.0360299891157342</v>
      </c>
      <c r="N26" s="282">
        <f>班线包车!Z42+公交!Z49+出租!Z49+网约车!Z49</f>
        <v>1099.73733013892</v>
      </c>
      <c r="O26" s="280">
        <f t="shared" si="3"/>
        <v>-0.0309555396664234</v>
      </c>
      <c r="P26" s="282">
        <f>班线包车!AB42+公交!AB49+出租!AB49+网约车!AB49</f>
        <v>1095.69691257656</v>
      </c>
      <c r="Q26" s="280">
        <f t="shared" si="4"/>
        <v>-0.0688598279391643</v>
      </c>
      <c r="R26" s="282">
        <f>班线包车!AD42+公交!AD49+出租!AD49+网约车!AD49</f>
        <v>1098.53263377997</v>
      </c>
      <c r="S26" s="280">
        <f t="shared" si="5"/>
        <v>-0.069845291042526</v>
      </c>
      <c r="T26" s="282">
        <f>班线包车!AF42+公交!AF49+出租!AF49+网约车!AF49</f>
        <v>1082.53544918177</v>
      </c>
      <c r="U26" s="280">
        <f t="shared" si="6"/>
        <v>-0.0662668473549236</v>
      </c>
      <c r="V26" s="282">
        <f>班线包车!AH42+公交!AH49+出租!AH49+网约车!AH49</f>
        <v>984.440735620698</v>
      </c>
      <c r="W26" s="280">
        <f t="shared" si="7"/>
        <v>-0.121791148770129</v>
      </c>
      <c r="X26" s="282">
        <f>班线包车!AJ42+公交!AJ49+出租!AJ49+网约车!AJ49</f>
        <v>963.946299179644</v>
      </c>
      <c r="Y26" s="280">
        <f t="shared" si="8"/>
        <v>-0.161253884596916</v>
      </c>
      <c r="Z26" s="282">
        <f>班线包车!AL42+公交!AL49+出租!AL49+网约车!AL49</f>
        <v>1027.84400336988</v>
      </c>
      <c r="AA26" s="280">
        <f t="shared" si="9"/>
        <v>-0.0977469559559359</v>
      </c>
      <c r="AB26" s="282">
        <f>班线包车!AN42+公交!AN49+出租!AN49+网约车!AN49</f>
        <v>1099.84303625844</v>
      </c>
      <c r="AC26" s="280">
        <f t="shared" si="10"/>
        <v>-0.0721679499263225</v>
      </c>
      <c r="AD26" s="282">
        <f>班线包车!AP42+公交!AP49+出租!AP49+网约车!AP49</f>
        <v>1101.47599423674</v>
      </c>
      <c r="AE26" s="280">
        <f t="shared" si="11"/>
        <v>-0.0239293045951451</v>
      </c>
      <c r="AF26" s="282">
        <f>班线包车!AR42+公交!AR49+出租!AR49+网约车!AR49</f>
        <v>1122.43289287095</v>
      </c>
      <c r="AG26" s="280">
        <f t="shared" si="12"/>
        <v>-0.0203857418369103</v>
      </c>
      <c r="AH26" s="282">
        <f t="shared" si="13"/>
        <v>11797.1549507919</v>
      </c>
      <c r="AI26" s="280">
        <f t="shared" si="14"/>
        <v>-0.067925660808075</v>
      </c>
      <c r="AJ26" s="281"/>
      <c r="AK26" s="282">
        <f>班线包车!AW42+公交!AW49+出租!AW49+网约车!AW49</f>
        <v>1210.48340195922</v>
      </c>
      <c r="AL26" s="281"/>
      <c r="AM26" s="282">
        <f>班线包车!AY42+公交!AY49+出租!AY49+网约车!AY49</f>
        <v>1071.11868732004</v>
      </c>
      <c r="AN26" s="281"/>
      <c r="AO26" s="282">
        <f>班线包车!BA42+公交!BA49+出租!BA49+网约车!BA49</f>
        <v>1134.86777455015</v>
      </c>
      <c r="AP26" s="281"/>
      <c r="AQ26" s="282">
        <f>班线包车!BC42+公交!BC49+出租!BC49+网约车!BC49</f>
        <v>1176.72606708775</v>
      </c>
      <c r="AR26" s="281"/>
      <c r="AS26" s="282">
        <f>班线包车!BE42+公交!BE49+出租!BE49+网约车!BE49</f>
        <v>1181.02141848126</v>
      </c>
      <c r="AT26" s="281"/>
      <c r="AU26" s="282">
        <f>班线包车!BG42+公交!BG49+出租!BG49+网约车!BG49</f>
        <v>1159.36276452771</v>
      </c>
      <c r="AV26" s="281"/>
      <c r="AW26" s="282">
        <f>班线包车!BI42+公交!BI49+出租!BI49+网约车!BI49</f>
        <v>1120.96426065629</v>
      </c>
      <c r="AX26" s="281"/>
      <c r="AY26" s="282">
        <f>班线包车!BK42+公交!BK49+出租!BK49+网约车!BK49</f>
        <v>1149.2706570884</v>
      </c>
      <c r="AZ26" s="281"/>
      <c r="BA26" s="282">
        <f>班线包车!BM42+公交!BM49+出租!BM49+网约车!BM49</f>
        <v>1139.1970469425</v>
      </c>
      <c r="BB26" s="281"/>
      <c r="BC26" s="282">
        <f>班线包车!BO42+公交!BO49+出租!BO49+网约车!BO49</f>
        <v>1185.39021816622</v>
      </c>
      <c r="BD26" s="281"/>
      <c r="BE26" s="282">
        <f>班线包车!BQ42+公交!BQ49+出租!BQ49+网约车!BQ49</f>
        <v>1128.47972941126</v>
      </c>
      <c r="BF26" s="281"/>
      <c r="BG26" s="282">
        <f>班线包车!BS42+公交!BS49+出租!BS49+网约车!BS49</f>
        <v>1145.79068599478</v>
      </c>
      <c r="BH26" s="281"/>
      <c r="BI26" s="282">
        <f>班线包车!BU42+公交!BU49+出租!BU49+网约车!BU49</f>
        <v>13802.6727121856</v>
      </c>
      <c r="BJ26" s="281"/>
      <c r="BK26" s="281"/>
      <c r="BL26" s="281"/>
      <c r="BM26" s="281"/>
      <c r="BN26" s="281"/>
      <c r="BO26" s="281"/>
      <c r="BP26" s="281"/>
      <c r="BQ26" s="281"/>
      <c r="BR26" s="281"/>
      <c r="BS26" s="281"/>
      <c r="BT26" s="281"/>
      <c r="BU26" s="281"/>
      <c r="BV26" s="281"/>
      <c r="BW26" s="281"/>
      <c r="BX26" s="281"/>
      <c r="BY26" s="281"/>
      <c r="BZ26" s="281"/>
      <c r="CA26" s="281"/>
      <c r="CB26" s="281"/>
      <c r="CC26" s="281"/>
      <c r="CD26" s="281"/>
      <c r="CE26" s="281"/>
      <c r="CF26" s="281"/>
      <c r="CG26" s="281"/>
      <c r="CH26" s="281"/>
      <c r="CI26" s="281"/>
      <c r="CJ26" s="281"/>
      <c r="CK26" s="281"/>
      <c r="CL26" s="282"/>
    </row>
    <row r="27" s="256" customFormat="1" ht="31.2" customHeight="1" spans="1:90">
      <c r="A27" s="29"/>
      <c r="B27" s="277" t="s">
        <v>194</v>
      </c>
      <c r="C27" s="282">
        <f>班线包车!C43+公交!C50+出租!C50+网约车!C50</f>
        <v>13512.9804803766</v>
      </c>
      <c r="D27" s="280">
        <f t="shared" si="0"/>
        <v>-0.155934454331184</v>
      </c>
      <c r="E27" s="280"/>
      <c r="F27" s="280"/>
      <c r="G27" s="280"/>
      <c r="H27" s="280"/>
      <c r="I27" s="670"/>
      <c r="J27" s="282">
        <f>班线包车!V43+公交!V50+出租!V50+网约车!V50</f>
        <v>16009.3970778884</v>
      </c>
      <c r="K27" s="280">
        <f t="shared" si="1"/>
        <v>0.126486425444005</v>
      </c>
      <c r="L27" s="282">
        <f>班线包车!X43+公交!X50+出租!X50+网约车!X50</f>
        <v>15278.5349663905</v>
      </c>
      <c r="M27" s="280">
        <f t="shared" si="2"/>
        <v>0.182239482414106</v>
      </c>
      <c r="N27" s="282">
        <f>班线包车!Z43+公交!Z50+出租!Z50+网约车!Z50</f>
        <v>16257.5786061874</v>
      </c>
      <c r="O27" s="280">
        <f t="shared" si="3"/>
        <v>0.199667371924106</v>
      </c>
      <c r="P27" s="282">
        <f>班线包车!AB43+公交!AB50+出租!AB50+网约车!AB50</f>
        <v>16667.7964460348</v>
      </c>
      <c r="Q27" s="280">
        <f t="shared" si="4"/>
        <v>0.159155716066137</v>
      </c>
      <c r="R27" s="282">
        <f>班线包车!AD43+公交!AD50+出租!AD50+网约车!AD50</f>
        <v>16258.2287477913</v>
      </c>
      <c r="S27" s="280">
        <f t="shared" si="5"/>
        <v>0.120641794960703</v>
      </c>
      <c r="T27" s="282">
        <f>班线包车!AF43+公交!AF50+出租!AF50+网约车!AF50</f>
        <v>15918.9239063962</v>
      </c>
      <c r="U27" s="280">
        <f t="shared" si="6"/>
        <v>0.152750993931799</v>
      </c>
      <c r="V27" s="282">
        <f>班线包车!AH43+公交!AH50+出租!AH50+网约车!AH50</f>
        <v>13474.6045017401</v>
      </c>
      <c r="W27" s="280">
        <f t="shared" si="7"/>
        <v>0.00737006401538309</v>
      </c>
      <c r="X27" s="282">
        <f>班线包车!AJ43+公交!AJ50+出租!AJ50+网约车!AJ50</f>
        <v>12858.2130566898</v>
      </c>
      <c r="Y27" s="280">
        <f t="shared" si="8"/>
        <v>-0.0693209247697018</v>
      </c>
      <c r="Z27" s="282">
        <f>班线包车!AL43+公交!AL50+出租!AL50+网约车!AL50</f>
        <v>13675.0912750091</v>
      </c>
      <c r="AA27" s="280">
        <f t="shared" si="9"/>
        <v>-0.0227089303315797</v>
      </c>
      <c r="AB27" s="282">
        <f>班线包车!AN43+公交!AN50+出租!AN50+网约车!AN50</f>
        <v>14570.1281450387</v>
      </c>
      <c r="AC27" s="280">
        <f t="shared" si="10"/>
        <v>-0.110940913872953</v>
      </c>
      <c r="AD27" s="282">
        <f>班线包车!AP43+公交!AP50+出租!AP50+网约车!AP50</f>
        <v>14327.9312906369</v>
      </c>
      <c r="AE27" s="280">
        <f t="shared" si="11"/>
        <v>-0.100047189799673</v>
      </c>
      <c r="AF27" s="282">
        <f>班线包车!AR43+公交!AR50+出租!AR50+网约车!AR50</f>
        <v>13883.5410388516</v>
      </c>
      <c r="AG27" s="280">
        <f t="shared" si="12"/>
        <v>-0.10662091685448</v>
      </c>
      <c r="AH27" s="282">
        <f t="shared" si="13"/>
        <v>165296.428019803</v>
      </c>
      <c r="AI27" s="280">
        <f t="shared" si="14"/>
        <v>0.0536657228933703</v>
      </c>
      <c r="AJ27" s="281"/>
      <c r="AK27" s="282">
        <f>班线包车!AW43+公交!AW50+出租!AW50+网约车!AW50</f>
        <v>14211.7976002935</v>
      </c>
      <c r="AL27" s="281"/>
      <c r="AM27" s="282">
        <f>班线包车!AY43+公交!AY50+出租!AY50+网约车!AY50</f>
        <v>12923.3841312693</v>
      </c>
      <c r="AN27" s="281"/>
      <c r="AO27" s="282">
        <f>班线包车!BA43+公交!BA50+出租!BA50+网约车!BA50</f>
        <v>13551.7385790967</v>
      </c>
      <c r="AP27" s="281"/>
      <c r="AQ27" s="282">
        <f>班线包车!BC43+公交!BC50+出租!BC50+网约车!BC50</f>
        <v>14379.2557074219</v>
      </c>
      <c r="AR27" s="281"/>
      <c r="AS27" s="282">
        <f>班线包车!BE43+公交!BE50+出租!BE50+网约车!BE50</f>
        <v>14507.9621524926</v>
      </c>
      <c r="AT27" s="281"/>
      <c r="AU27" s="282">
        <f>班线包车!BG43+公交!BG50+出租!BG50+网约车!BG50</f>
        <v>13809.5078557252</v>
      </c>
      <c r="AV27" s="281"/>
      <c r="AW27" s="282">
        <f>班线包车!BI43+公交!BI50+出租!BI50+网约车!BI50</f>
        <v>13376.0223606708</v>
      </c>
      <c r="AX27" s="281"/>
      <c r="AY27" s="282">
        <f>班线包车!BK43+公交!BK50+出租!BK50+网约车!BK50</f>
        <v>13815.9473001024</v>
      </c>
      <c r="AZ27" s="281"/>
      <c r="BA27" s="282">
        <f>班线包车!BM43+公交!BM50+出租!BM50+网约车!BM50</f>
        <v>13992.8540221378</v>
      </c>
      <c r="BB27" s="281"/>
      <c r="BC27" s="282">
        <f>班线包车!BO43+公交!BO50+出租!BO50+网约车!BO50</f>
        <v>16388.2562727182</v>
      </c>
      <c r="BD27" s="281"/>
      <c r="BE27" s="282">
        <f>班线包车!BQ43+公交!BQ50+出租!BQ50+网约车!BQ50</f>
        <v>15920.7584311533</v>
      </c>
      <c r="BF27" s="281"/>
      <c r="BG27" s="282">
        <f>班线包车!BS43+公交!BS50+出租!BS50+网约车!BS50</f>
        <v>15540.4814157599</v>
      </c>
      <c r="BH27" s="281"/>
      <c r="BI27" s="282">
        <f>班线包车!BU43+公交!BU50+出租!BU50+网约车!BU50</f>
        <v>172417.965828842</v>
      </c>
      <c r="BJ27" s="281"/>
      <c r="BK27" s="281"/>
      <c r="BL27" s="281"/>
      <c r="BM27" s="281"/>
      <c r="BN27" s="281"/>
      <c r="BO27" s="281"/>
      <c r="BP27" s="281"/>
      <c r="BQ27" s="281"/>
      <c r="BR27" s="281"/>
      <c r="BS27" s="281"/>
      <c r="BT27" s="281"/>
      <c r="BU27" s="281"/>
      <c r="BV27" s="281"/>
      <c r="BW27" s="281"/>
      <c r="BX27" s="281"/>
      <c r="BY27" s="281"/>
      <c r="BZ27" s="281"/>
      <c r="CA27" s="281"/>
      <c r="CB27" s="281"/>
      <c r="CC27" s="281"/>
      <c r="CD27" s="281"/>
      <c r="CE27" s="281"/>
      <c r="CF27" s="281"/>
      <c r="CG27" s="281"/>
      <c r="CH27" s="281"/>
      <c r="CI27" s="281"/>
      <c r="CJ27" s="281"/>
      <c r="CK27" s="281"/>
      <c r="CL27" s="282"/>
    </row>
    <row r="28" s="256" customFormat="1" ht="31.2" customHeight="1" spans="1:90">
      <c r="A28" s="283" t="s">
        <v>104</v>
      </c>
      <c r="B28" s="277" t="s">
        <v>193</v>
      </c>
      <c r="C28" s="282">
        <f>班线包车!C44+公交!C53+出租!C53+网约车!C53</f>
        <v>550.350055692631</v>
      </c>
      <c r="D28" s="280">
        <f t="shared" si="0"/>
        <v>0.0801379150278427</v>
      </c>
      <c r="E28" s="280"/>
      <c r="F28" s="280"/>
      <c r="G28" s="280"/>
      <c r="H28" s="280"/>
      <c r="I28" s="670"/>
      <c r="J28" s="282">
        <f>班线包车!V44+公交!V53+出租!V53+网约车!V53</f>
        <v>509.518319869777</v>
      </c>
      <c r="K28" s="280">
        <f t="shared" si="1"/>
        <v>-0.000225226776297105</v>
      </c>
      <c r="L28" s="282">
        <f>班线包车!X44+公交!X53+出租!X53+网约车!X53</f>
        <v>517.733022528197</v>
      </c>
      <c r="M28" s="280">
        <f t="shared" si="2"/>
        <v>-0.0499256196761753</v>
      </c>
      <c r="N28" s="282">
        <f>班线包车!Z44+公交!Z53+出租!Z53+网约车!Z53</f>
        <v>491.977069837308</v>
      </c>
      <c r="O28" s="280">
        <f t="shared" si="3"/>
        <v>-0.0392045501607471</v>
      </c>
      <c r="P28" s="282">
        <f>班线包车!AB44+公交!AB53+出租!AB53+网约车!AB53</f>
        <v>488.547554011376</v>
      </c>
      <c r="Q28" s="280">
        <f t="shared" si="4"/>
        <v>-0.000367431780849636</v>
      </c>
      <c r="R28" s="282">
        <f>班线包车!AD44+公交!AD53+出租!AD53+网约车!AD53</f>
        <v>502.69372377514</v>
      </c>
      <c r="S28" s="280">
        <f t="shared" si="5"/>
        <v>0.0357527971277685</v>
      </c>
      <c r="T28" s="282">
        <f>班线包车!AF44+公交!AF53+出租!AF53+网约车!AF53</f>
        <v>482.25628441077</v>
      </c>
      <c r="U28" s="280">
        <f t="shared" si="6"/>
        <v>-0.0394438228555297</v>
      </c>
      <c r="V28" s="282">
        <f>班线包车!AH44+公交!AH53+出租!AH53+网约车!AH53</f>
        <v>466.469393341712</v>
      </c>
      <c r="W28" s="280">
        <f t="shared" si="7"/>
        <v>-0.0238728767518641</v>
      </c>
      <c r="X28" s="282">
        <f>班线包车!AJ44+公交!AJ53+出租!AJ53+网约车!AJ53</f>
        <v>461.413967058301</v>
      </c>
      <c r="Y28" s="280">
        <f t="shared" si="8"/>
        <v>0.00557470644763725</v>
      </c>
      <c r="Z28" s="282">
        <f>班线包车!AL44+公交!AL53+出租!AL53+网约车!AL53</f>
        <v>456.667005628224</v>
      </c>
      <c r="AA28" s="280">
        <f t="shared" si="9"/>
        <v>-0.00445504053575418</v>
      </c>
      <c r="AB28" s="282">
        <f>班线包车!AN44+公交!AN53+出租!AN53+网约车!AN53</f>
        <v>491.185829095111</v>
      </c>
      <c r="AC28" s="280">
        <f t="shared" si="10"/>
        <v>0.00334768703229638</v>
      </c>
      <c r="AD28" s="282">
        <f>班线包车!AP44+公交!AP53+出租!AP53+网约车!AP53</f>
        <v>490.255350011895</v>
      </c>
      <c r="AE28" s="280">
        <f t="shared" si="11"/>
        <v>-0.00246186554558636</v>
      </c>
      <c r="AF28" s="282">
        <f>班线包车!AR44+公交!AR53+出租!AR53+网约车!AR53</f>
        <v>522.147404744444</v>
      </c>
      <c r="AG28" s="280">
        <f t="shared" si="12"/>
        <v>0.0113938699301583</v>
      </c>
      <c r="AH28" s="282">
        <f t="shared" si="13"/>
        <v>5358.71751956781</v>
      </c>
      <c r="AI28" s="280">
        <f t="shared" si="14"/>
        <v>-0.0111623973639476</v>
      </c>
      <c r="AJ28" s="281"/>
      <c r="AK28" s="282">
        <f>班线包车!AW44+公交!AW53+出租!AW53+网约车!AW53</f>
        <v>509.633102890636</v>
      </c>
      <c r="AL28" s="281"/>
      <c r="AM28" s="282">
        <f>班线包车!AY44+公交!AY53+出租!AY53+网约车!AY53</f>
        <v>544.939462899455</v>
      </c>
      <c r="AN28" s="281"/>
      <c r="AO28" s="282">
        <f>班线包车!BA44+公交!BA53+出租!BA53+网约车!BA53</f>
        <v>512.051831552302</v>
      </c>
      <c r="AP28" s="281"/>
      <c r="AQ28" s="282">
        <f>班线包车!BC44+公交!BC53+出租!BC53+网约车!BC53</f>
        <v>488.727127890327</v>
      </c>
      <c r="AR28" s="281"/>
      <c r="AS28" s="282">
        <f>班线包车!BE44+公交!BE53+出租!BE53+网约车!BE53</f>
        <v>485.341410777893</v>
      </c>
      <c r="AT28" s="281"/>
      <c r="AU28" s="282">
        <f>班线包车!BG44+公交!BG53+出租!BG53+网约车!BG53</f>
        <v>502.059427533344</v>
      </c>
      <c r="AV28" s="281"/>
      <c r="AW28" s="282">
        <f>班线包车!BI44+公交!BI53+出租!BI53+网约车!BI53</f>
        <v>477.877708990915</v>
      </c>
      <c r="AX28" s="281"/>
      <c r="AY28" s="282">
        <f>班线包车!BK44+公交!BK53+出租!BK53+网约车!BK53</f>
        <v>458.855979669898</v>
      </c>
      <c r="AZ28" s="281"/>
      <c r="BA28" s="282">
        <f>班线包车!BM44+公交!BM53+出租!BM53+网约车!BM53</f>
        <v>458.71057985566</v>
      </c>
      <c r="BB28" s="281"/>
      <c r="BC28" s="282">
        <f>班线包车!BO44+公交!BO53+出租!BO53+网约车!BO53</f>
        <v>489.54697902174</v>
      </c>
      <c r="BD28" s="281"/>
      <c r="BE28" s="282">
        <f>班线包车!BQ44+公交!BQ53+出租!BQ53+网约车!BQ53</f>
        <v>491.465271430482</v>
      </c>
      <c r="BF28" s="281"/>
      <c r="BG28" s="282">
        <f>班线包车!BS44+公交!BS53+出租!BS53+网约车!BS53</f>
        <v>516.265146812192</v>
      </c>
      <c r="BH28" s="281"/>
      <c r="BI28" s="282">
        <f>班线包车!BU44+公交!BU53+出租!BU53+网约车!BU53</f>
        <v>5935.47402932484</v>
      </c>
      <c r="BJ28" s="281"/>
      <c r="BK28" s="281"/>
      <c r="BL28" s="281"/>
      <c r="BM28" s="281"/>
      <c r="BN28" s="281"/>
      <c r="BO28" s="281"/>
      <c r="BP28" s="281"/>
      <c r="BQ28" s="281"/>
      <c r="BR28" s="281"/>
      <c r="BS28" s="281"/>
      <c r="BT28" s="281"/>
      <c r="BU28" s="281"/>
      <c r="BV28" s="281"/>
      <c r="BW28" s="281"/>
      <c r="BX28" s="281"/>
      <c r="BY28" s="281"/>
      <c r="BZ28" s="281"/>
      <c r="CA28" s="281"/>
      <c r="CB28" s="281"/>
      <c r="CC28" s="281"/>
      <c r="CD28" s="281"/>
      <c r="CE28" s="281"/>
      <c r="CF28" s="281"/>
      <c r="CG28" s="281"/>
      <c r="CH28" s="281"/>
      <c r="CI28" s="281"/>
      <c r="CJ28" s="281"/>
      <c r="CK28" s="281"/>
      <c r="CL28" s="282"/>
    </row>
    <row r="29" s="256" customFormat="1" ht="31.2" customHeight="1" spans="1:90">
      <c r="A29" s="29"/>
      <c r="B29" s="277" t="s">
        <v>194</v>
      </c>
      <c r="C29" s="282">
        <f>班线包车!C45+公交!C54+出租!C54+网约车!C54</f>
        <v>8822.67989710495</v>
      </c>
      <c r="D29" s="280">
        <f t="shared" si="0"/>
        <v>-0.0311697090469004</v>
      </c>
      <c r="E29" s="280"/>
      <c r="F29" s="280"/>
      <c r="G29" s="280"/>
      <c r="H29" s="280"/>
      <c r="I29" s="670"/>
      <c r="J29" s="282">
        <f>班线包车!V45+公交!V54+出租!V54+网约车!V54</f>
        <v>9106.52771645437</v>
      </c>
      <c r="K29" s="280">
        <f t="shared" si="1"/>
        <v>0.0509509400462667</v>
      </c>
      <c r="L29" s="282">
        <f>班线包车!X45+公交!X54+出租!X54+网约车!X54</f>
        <v>9279.64432068828</v>
      </c>
      <c r="M29" s="280">
        <f t="shared" si="2"/>
        <v>0.0244134244201302</v>
      </c>
      <c r="N29" s="282">
        <f>班线包车!Z45+公交!Z54+出租!Z54+网约车!Z54</f>
        <v>9160.34424190042</v>
      </c>
      <c r="O29" s="280">
        <f t="shared" si="3"/>
        <v>0.0292230919626497</v>
      </c>
      <c r="P29" s="282">
        <f>班线包车!AB45+公交!AB54+出租!AB54+网约车!AB54</f>
        <v>9428.61638602289</v>
      </c>
      <c r="Q29" s="280">
        <f t="shared" si="4"/>
        <v>0.0296654751201475</v>
      </c>
      <c r="R29" s="282">
        <f>班线包车!AD45+公交!AD54+出租!AD54+网约车!AD54</f>
        <v>9450.45745374531</v>
      </c>
      <c r="S29" s="280">
        <f t="shared" si="5"/>
        <v>0.00527025258006675</v>
      </c>
      <c r="T29" s="282">
        <f>班线包车!AF45+公交!AF54+出租!AF54+网约车!AF54</f>
        <v>9115.41076179189</v>
      </c>
      <c r="U29" s="280">
        <f t="shared" si="6"/>
        <v>-0.00780103115749753</v>
      </c>
      <c r="V29" s="282">
        <f>班线包车!AH45+公交!AH54+出租!AH54+网约车!AH54</f>
        <v>8909.70965650363</v>
      </c>
      <c r="W29" s="280">
        <f t="shared" si="7"/>
        <v>-0.0161270312135657</v>
      </c>
      <c r="X29" s="282">
        <f>班线包车!AJ45+公交!AJ54+出租!AJ54+网约车!AJ54</f>
        <v>8565.6096641488</v>
      </c>
      <c r="Y29" s="280">
        <f t="shared" si="8"/>
        <v>-0.0291311597805175</v>
      </c>
      <c r="Z29" s="282">
        <f>班线包车!AL45+公交!AL54+出租!AL54+网约车!AL54</f>
        <v>8485.10814153653</v>
      </c>
      <c r="AA29" s="280">
        <f t="shared" si="9"/>
        <v>-0.00771534081263603</v>
      </c>
      <c r="AB29" s="282">
        <f>班线包车!AN45+公交!AN54+出租!AN54+网约车!AN54</f>
        <v>9008.53697049323</v>
      </c>
      <c r="AC29" s="280">
        <f t="shared" si="10"/>
        <v>-0.0134845340086013</v>
      </c>
      <c r="AD29" s="282">
        <f>班线包车!AP45+公交!AP54+出租!AP54+网约车!AP54</f>
        <v>8807.34109332052</v>
      </c>
      <c r="AE29" s="280">
        <f t="shared" si="11"/>
        <v>-0.0123918110642974</v>
      </c>
      <c r="AF29" s="282">
        <f>班线包车!AR45+公交!AR54+出租!AR54+网约车!AR54</f>
        <v>8814.00432377961</v>
      </c>
      <c r="AG29" s="280">
        <f t="shared" si="12"/>
        <v>0.00107862653661828</v>
      </c>
      <c r="AH29" s="282">
        <f t="shared" si="13"/>
        <v>99317.3064066059</v>
      </c>
      <c r="AI29" s="280">
        <f t="shared" si="14"/>
        <v>0.00475054979989586</v>
      </c>
      <c r="AJ29" s="281"/>
      <c r="AK29" s="282">
        <f>班线包车!AW45+公交!AW54+出租!AW54+网约车!AW54</f>
        <v>8665.03598736347</v>
      </c>
      <c r="AL29" s="281"/>
      <c r="AM29" s="282">
        <f>班线包车!AY45+公交!AY54+出租!AY54+网约车!AY54</f>
        <v>9058.49542721585</v>
      </c>
      <c r="AN29" s="281"/>
      <c r="AO29" s="282">
        <f>班线包车!BA45+公交!BA54+出租!BA54+网约车!BA54</f>
        <v>8900.25137740774</v>
      </c>
      <c r="AP29" s="281"/>
      <c r="AQ29" s="282">
        <f>班线包车!BC45+公交!BC54+出租!BC54+网约车!BC54</f>
        <v>9156.97050532135</v>
      </c>
      <c r="AR29" s="281"/>
      <c r="AS29" s="282">
        <f>班线包车!BE45+公交!BE54+出租!BE54+网约车!BE54</f>
        <v>9400.91227159098</v>
      </c>
      <c r="AT29" s="281"/>
      <c r="AU29" s="282">
        <f>班线包车!BG45+公交!BG54+出租!BG54+网约车!BG54</f>
        <v>9187.0794548657</v>
      </c>
      <c r="AV29" s="281"/>
      <c r="AW29" s="282">
        <f>班线包车!BI45+公交!BI54+出租!BI54+网约车!BI54</f>
        <v>9055.75205251688</v>
      </c>
      <c r="AX29" s="281"/>
      <c r="AY29" s="282">
        <f>班线包车!BK45+公交!BK54+出租!BK54+网约车!BK54</f>
        <v>8822.62290157792</v>
      </c>
      <c r="AZ29" s="281"/>
      <c r="BA29" s="282">
        <f>班线包车!BM45+公交!BM54+出租!BM54+网约车!BM54</f>
        <v>8551.08265856437</v>
      </c>
      <c r="BB29" s="281"/>
      <c r="BC29" s="282">
        <f>班线包车!BO45+公交!BO54+出租!BO54+网约车!BO54</f>
        <v>9131.67333006797</v>
      </c>
      <c r="BD29" s="281"/>
      <c r="BE29" s="282">
        <f>班线包车!BQ45+公交!BQ54+出租!BQ54+网约车!BQ54</f>
        <v>8917.84939816241</v>
      </c>
      <c r="BF29" s="281"/>
      <c r="BG29" s="282">
        <f>班线包车!BS45+公交!BS54+出租!BS54+网约车!BS54</f>
        <v>8804.50754829616</v>
      </c>
      <c r="BH29" s="281"/>
      <c r="BI29" s="282">
        <f>班线包车!BU45+公交!BU54+出租!BU54+网约车!BU54</f>
        <v>107652.232912951</v>
      </c>
      <c r="BJ29" s="281"/>
      <c r="BK29" s="281"/>
      <c r="BL29" s="281"/>
      <c r="BM29" s="281"/>
      <c r="BN29" s="281"/>
      <c r="BO29" s="281"/>
      <c r="BP29" s="281"/>
      <c r="BQ29" s="281"/>
      <c r="BR29" s="281"/>
      <c r="BS29" s="281"/>
      <c r="BT29" s="281"/>
      <c r="BU29" s="281"/>
      <c r="BV29" s="281"/>
      <c r="BW29" s="281"/>
      <c r="BX29" s="281"/>
      <c r="BY29" s="281"/>
      <c r="BZ29" s="281"/>
      <c r="CA29" s="281"/>
      <c r="CB29" s="281"/>
      <c r="CC29" s="281"/>
      <c r="CD29" s="281"/>
      <c r="CE29" s="281"/>
      <c r="CF29" s="281"/>
      <c r="CG29" s="281"/>
      <c r="CH29" s="281"/>
      <c r="CI29" s="281"/>
      <c r="CJ29" s="281"/>
      <c r="CK29" s="281"/>
      <c r="CL29" s="282"/>
    </row>
    <row r="30" s="256" customFormat="1" ht="31.2" customHeight="1" spans="1:90">
      <c r="A30" s="283" t="s">
        <v>195</v>
      </c>
      <c r="B30" s="277" t="s">
        <v>193</v>
      </c>
      <c r="C30" s="282">
        <f>班线包车!C48+公交!C57+出租!C57+网约车!C57</f>
        <v>1445.64299131682</v>
      </c>
      <c r="D30" s="280">
        <f t="shared" si="0"/>
        <v>0.102345709155214</v>
      </c>
      <c r="E30" s="280"/>
      <c r="F30" s="280"/>
      <c r="G30" s="280"/>
      <c r="H30" s="280"/>
      <c r="I30" s="670"/>
      <c r="J30" s="282">
        <f>班线包车!V48+公交!V57+出租!V57+网约车!V57</f>
        <v>1311.42433749272</v>
      </c>
      <c r="K30" s="280">
        <f t="shared" si="1"/>
        <v>-0.0382799450400363</v>
      </c>
      <c r="L30" s="282">
        <f>班线包车!X48+公交!X57+出租!X57+网约车!X57</f>
        <v>1205.66165015753</v>
      </c>
      <c r="M30" s="280">
        <f t="shared" si="2"/>
        <v>0.00722135837275895</v>
      </c>
      <c r="N30" s="282">
        <f>班线包车!Z48+公交!Z57+出租!Z57+网约车!Z57</f>
        <v>1289.00028352496</v>
      </c>
      <c r="O30" s="280">
        <f t="shared" si="3"/>
        <v>-0.0182714019599794</v>
      </c>
      <c r="P30" s="282">
        <f>班线包车!AB48+公交!AB57+出租!AB57+网约车!AB57</f>
        <v>1351.59686464938</v>
      </c>
      <c r="Q30" s="280">
        <f t="shared" si="4"/>
        <v>-0.0282575023274109</v>
      </c>
      <c r="R30" s="282">
        <f>班线包车!AD48+公交!AD57+出租!AD57+网约车!AD57</f>
        <v>1384.89340853527</v>
      </c>
      <c r="S30" s="280">
        <f t="shared" si="5"/>
        <v>-0.0118665024813205</v>
      </c>
      <c r="T30" s="282">
        <f>班线包车!AF48+公交!AF57+出租!AF57+网约车!AF57</f>
        <v>1364.21096232327</v>
      </c>
      <c r="U30" s="280">
        <f t="shared" si="6"/>
        <v>-0.0350049109540228</v>
      </c>
      <c r="V30" s="282">
        <f>班线包车!AH48+公交!AH57+出租!AH57+网约车!AH57</f>
        <v>1434.44440103731</v>
      </c>
      <c r="W30" s="280">
        <f t="shared" si="7"/>
        <v>-0.0302800055813914</v>
      </c>
      <c r="X30" s="282">
        <f>班线包车!AJ48+公交!AJ57+出租!AJ57+网约车!AJ57</f>
        <v>1442.04884158491</v>
      </c>
      <c r="Y30" s="280">
        <f t="shared" si="8"/>
        <v>-0.0153188775130939</v>
      </c>
      <c r="Z30" s="282">
        <f>班线包车!AL48+公交!AL57+出租!AL57+网约车!AL57</f>
        <v>1347.8570884087</v>
      </c>
      <c r="AA30" s="280">
        <f t="shared" si="9"/>
        <v>-0.0131600963846925</v>
      </c>
      <c r="AB30" s="282">
        <f>班线包车!AN48+公交!AN57+出租!AN57+网约车!AN57</f>
        <v>1462.86936417706</v>
      </c>
      <c r="AC30" s="280">
        <f t="shared" si="10"/>
        <v>0.0629663470355277</v>
      </c>
      <c r="AD30" s="282">
        <f>班线包车!AP48+公交!AP57+出租!AP57+网约车!AP57</f>
        <v>1448.59908923062</v>
      </c>
      <c r="AE30" s="280">
        <f t="shared" si="11"/>
        <v>0.0912378663575786</v>
      </c>
      <c r="AF30" s="282">
        <f>班线包车!AR48+公交!AR57+出租!AR57+网约车!AR57</f>
        <v>1452.76941994901</v>
      </c>
      <c r="AG30" s="280">
        <f t="shared" si="12"/>
        <v>0.0991545507688294</v>
      </c>
      <c r="AH30" s="282">
        <f t="shared" si="13"/>
        <v>15042.6062911217</v>
      </c>
      <c r="AI30" s="280">
        <f t="shared" si="14"/>
        <v>-0.00333893636168892</v>
      </c>
      <c r="AJ30" s="281"/>
      <c r="AK30" s="282">
        <f>班线包车!AW48+公交!AW57+出租!AW57+网约车!AW57</f>
        <v>1363.62378088009</v>
      </c>
      <c r="AL30" s="281"/>
      <c r="AM30" s="282">
        <f>班线包车!AY48+公交!AY57+出租!AY57+网约车!AY57</f>
        <v>1197.01755739708</v>
      </c>
      <c r="AN30" s="281"/>
      <c r="AO30" s="282">
        <f>班线包车!BA48+公交!BA57+出租!BA57+网约车!BA57</f>
        <v>1312.99045998904</v>
      </c>
      <c r="AP30" s="281"/>
      <c r="AQ30" s="282">
        <f>班线包车!BC48+公交!BC57+出租!BC57+网约车!BC57</f>
        <v>1390.90023116882</v>
      </c>
      <c r="AR30" s="281"/>
      <c r="AS30" s="282">
        <f>班线包车!BE48+公交!BE57+出租!BE57+网约车!BE57</f>
        <v>1401.52460372298</v>
      </c>
      <c r="AT30" s="281"/>
      <c r="AU30" s="282">
        <f>班线包车!BG48+公交!BG57+出租!BG57+网约车!BG57</f>
        <v>1413.69731080391</v>
      </c>
      <c r="AV30" s="281"/>
      <c r="AW30" s="282">
        <f>班线包车!BI48+公交!BI57+出租!BI57+网约车!BI57</f>
        <v>1479.23566523688</v>
      </c>
      <c r="AX30" s="281"/>
      <c r="AY30" s="282">
        <f>班线包车!BK48+公交!BK57+出租!BK57+网约车!BK57</f>
        <v>1464.48307848421</v>
      </c>
      <c r="AZ30" s="281"/>
      <c r="BA30" s="282">
        <f>班线包车!BM48+公交!BM57+出租!BM57+网约车!BM57</f>
        <v>1365.83156342867</v>
      </c>
      <c r="BB30" s="281"/>
      <c r="BC30" s="282">
        <f>班线包车!BO48+公交!BO57+出租!BO57+网约车!BO57</f>
        <v>1376.21418425598</v>
      </c>
      <c r="BD30" s="281"/>
      <c r="BE30" s="282">
        <f>班线包车!BQ48+公交!BQ57+出租!BQ57+网约车!BQ57</f>
        <v>1327.48242513419</v>
      </c>
      <c r="BF30" s="281"/>
      <c r="BG30" s="282">
        <f>班线包车!BS48+公交!BS57+出租!BS57+网约车!BS57</f>
        <v>1321.71533014428</v>
      </c>
      <c r="BH30" s="281"/>
      <c r="BI30" s="282">
        <f>班线包车!BU48+公交!BU57+出租!BU57+网约车!BU57</f>
        <v>16414.7161906461</v>
      </c>
      <c r="BJ30" s="281"/>
      <c r="BK30" s="281"/>
      <c r="BL30" s="281"/>
      <c r="BM30" s="281"/>
      <c r="BN30" s="281"/>
      <c r="BO30" s="281"/>
      <c r="BP30" s="281"/>
      <c r="BQ30" s="281"/>
      <c r="BR30" s="281"/>
      <c r="BS30" s="281"/>
      <c r="BT30" s="281"/>
      <c r="BU30" s="281"/>
      <c r="BV30" s="281"/>
      <c r="BW30" s="281"/>
      <c r="BX30" s="281"/>
      <c r="BY30" s="281"/>
      <c r="BZ30" s="281"/>
      <c r="CA30" s="281"/>
      <c r="CB30" s="281"/>
      <c r="CC30" s="281"/>
      <c r="CD30" s="281"/>
      <c r="CE30" s="281"/>
      <c r="CF30" s="281"/>
      <c r="CG30" s="281"/>
      <c r="CH30" s="281"/>
      <c r="CI30" s="281"/>
      <c r="CJ30" s="281"/>
      <c r="CK30" s="281"/>
      <c r="CL30" s="282"/>
    </row>
    <row r="31" s="256" customFormat="1" ht="31.2" customHeight="1" spans="1:90">
      <c r="A31" s="29"/>
      <c r="B31" s="277" t="s">
        <v>194</v>
      </c>
      <c r="C31" s="282">
        <f>班线包车!C49+公交!C58+出租!C58+网约车!C58</f>
        <v>19626.6042973799</v>
      </c>
      <c r="D31" s="280">
        <f t="shared" si="0"/>
        <v>-0.0104600620212321</v>
      </c>
      <c r="E31" s="280"/>
      <c r="F31" s="280"/>
      <c r="G31" s="280"/>
      <c r="H31" s="280"/>
      <c r="I31" s="670"/>
      <c r="J31" s="282">
        <f>班线包车!V49+公交!V58+出租!V58+网约车!V58</f>
        <v>19834.0698986533</v>
      </c>
      <c r="K31" s="280">
        <f t="shared" si="1"/>
        <v>0.00200138420374296</v>
      </c>
      <c r="L31" s="282">
        <f>班线包车!X49+公交!X58+出租!X58+网约车!X58</f>
        <v>20328.9255329725</v>
      </c>
      <c r="M31" s="280">
        <f t="shared" si="2"/>
        <v>0.0119372315487369</v>
      </c>
      <c r="N31" s="282">
        <f>班线包车!Z49+公交!Z58+出租!Z58+网约车!Z58</f>
        <v>21188.9510223166</v>
      </c>
      <c r="O31" s="280">
        <f t="shared" si="3"/>
        <v>0.0335241101055823</v>
      </c>
      <c r="P31" s="282">
        <f>班线包车!AB49+公交!AB58+出租!AB58+网约车!AB58</f>
        <v>23898.3146655229</v>
      </c>
      <c r="Q31" s="280">
        <f t="shared" si="4"/>
        <v>0.000602351095929432</v>
      </c>
      <c r="R31" s="282">
        <f>班线包车!AD49+公交!AD58+出租!AD58+网约车!AD58</f>
        <v>23793.9091116221</v>
      </c>
      <c r="S31" s="280">
        <f t="shared" si="5"/>
        <v>-0.0371637409647444</v>
      </c>
      <c r="T31" s="282">
        <f>班线包车!AF49+公交!AF58+出租!AF58+网约车!AF58</f>
        <v>21993.6929627192</v>
      </c>
      <c r="U31" s="280">
        <f t="shared" si="6"/>
        <v>-0.0895197760871722</v>
      </c>
      <c r="V31" s="282">
        <f>班线包车!AH49+公交!AH58+出租!AH58+网约车!AH58</f>
        <v>24607.468006867</v>
      </c>
      <c r="W31" s="280">
        <f t="shared" si="7"/>
        <v>-0.0607342194736329</v>
      </c>
      <c r="X31" s="282">
        <f>班线包车!AJ49+公交!AJ58+出租!AJ58+网约车!AJ58</f>
        <v>23335.9689784489</v>
      </c>
      <c r="Y31" s="280">
        <f t="shared" si="8"/>
        <v>-0.0877128704603387</v>
      </c>
      <c r="Z31" s="282">
        <f>班线包车!AL49+公交!AL58+出租!AL58+网约车!AL58</f>
        <v>20568.021326941</v>
      </c>
      <c r="AA31" s="280">
        <f t="shared" si="9"/>
        <v>-0.109777268162129</v>
      </c>
      <c r="AB31" s="282">
        <f>班线包车!AN49+公交!AN58+出租!AN58+网约车!AN58</f>
        <v>19918.4370275822</v>
      </c>
      <c r="AC31" s="280">
        <f t="shared" si="10"/>
        <v>-0.124473309561623</v>
      </c>
      <c r="AD31" s="282">
        <f>班线包车!AP49+公交!AP58+出租!AP58+网约车!AP58</f>
        <v>19920.7497630676</v>
      </c>
      <c r="AE31" s="280">
        <f t="shared" si="11"/>
        <v>-0.0595888911121749</v>
      </c>
      <c r="AF31" s="282">
        <f>班线包车!AR49+公交!AR58+出租!AR58+网约车!AR58</f>
        <v>19154.9157327772</v>
      </c>
      <c r="AG31" s="280">
        <f t="shared" si="12"/>
        <v>-0.0149411316240645</v>
      </c>
      <c r="AH31" s="282">
        <f t="shared" si="13"/>
        <v>239388.508296713</v>
      </c>
      <c r="AI31" s="280">
        <f t="shared" si="14"/>
        <v>-0.0498701690183911</v>
      </c>
      <c r="AJ31" s="281"/>
      <c r="AK31" s="282">
        <f>班线包车!AW49+公交!AW58+出租!AW58+网约车!AW58</f>
        <v>19794.4535919127</v>
      </c>
      <c r="AL31" s="281"/>
      <c r="AM31" s="282">
        <f>班线包车!AY49+公交!AY58+出租!AY58+网约车!AY58</f>
        <v>20089.1170906517</v>
      </c>
      <c r="AN31" s="281"/>
      <c r="AO31" s="282">
        <f>班线包车!BA49+公交!BA58+出租!BA58+网约车!BA58</f>
        <v>20501.6514033252</v>
      </c>
      <c r="AP31" s="281"/>
      <c r="AQ31" s="282">
        <f>班线包车!BC49+公交!BC58+出租!BC58+网约车!BC58</f>
        <v>23883.9281552235</v>
      </c>
      <c r="AR31" s="281"/>
      <c r="AS31" s="282">
        <f>班线包车!BE49+公交!BE58+出租!BE58+网约车!BE58</f>
        <v>24712.3110376661</v>
      </c>
      <c r="AT31" s="281"/>
      <c r="AU31" s="282">
        <f>班线包车!BG49+公交!BG58+出租!BG58+网约车!BG58</f>
        <v>24156.1457185752</v>
      </c>
      <c r="AV31" s="281"/>
      <c r="AW31" s="282">
        <f>班线包车!BI49+公交!BI58+出租!BI58+网约车!BI58</f>
        <v>26198.6207919519</v>
      </c>
      <c r="AX31" s="281"/>
      <c r="AY31" s="282">
        <f>班线包车!BK49+公交!BK58+出租!BK58+网约车!BK58</f>
        <v>25579.6319194202</v>
      </c>
      <c r="AZ31" s="281"/>
      <c r="BA31" s="282">
        <f>班线包车!BM49+公交!BM58+出租!BM58+网约车!BM58</f>
        <v>23104.3542153525</v>
      </c>
      <c r="BB31" s="281"/>
      <c r="BC31" s="282">
        <f>班线包车!BO49+公交!BO58+出租!BO58+网约车!BO58</f>
        <v>22750.2339393092</v>
      </c>
      <c r="BD31" s="281"/>
      <c r="BE31" s="282">
        <f>班线包车!BQ49+公交!BQ58+出租!BQ58+网约车!BQ58</f>
        <v>21183.0225895852</v>
      </c>
      <c r="BF31" s="281"/>
      <c r="BG31" s="282">
        <f>班线包车!BS49+公交!BS58+出租!BS58+网约车!BS58</f>
        <v>19445.4528025902</v>
      </c>
      <c r="BH31" s="281"/>
      <c r="BI31" s="282">
        <f>班线包车!BU49+公交!BU58+出租!BU58+网约车!BU58</f>
        <v>271398.923255564</v>
      </c>
      <c r="BJ31" s="281"/>
      <c r="BK31" s="281"/>
      <c r="BL31" s="281"/>
      <c r="BM31" s="281"/>
      <c r="BN31" s="281"/>
      <c r="BO31" s="281"/>
      <c r="BP31" s="281"/>
      <c r="BQ31" s="281"/>
      <c r="BR31" s="281"/>
      <c r="BS31" s="281"/>
      <c r="BT31" s="281"/>
      <c r="BU31" s="281"/>
      <c r="BV31" s="281"/>
      <c r="BW31" s="281"/>
      <c r="BX31" s="281"/>
      <c r="BY31" s="281"/>
      <c r="BZ31" s="281"/>
      <c r="CA31" s="281"/>
      <c r="CB31" s="281"/>
      <c r="CC31" s="281"/>
      <c r="CD31" s="281"/>
      <c r="CE31" s="281"/>
      <c r="CF31" s="281"/>
      <c r="CG31" s="281"/>
      <c r="CH31" s="281"/>
      <c r="CI31" s="281"/>
      <c r="CJ31" s="281"/>
      <c r="CK31" s="281"/>
      <c r="CL31" s="282"/>
    </row>
    <row r="32" s="256" customFormat="1" ht="31.2" customHeight="1" spans="1:90">
      <c r="A32" s="283" t="s">
        <v>106</v>
      </c>
      <c r="B32" s="277" t="s">
        <v>193</v>
      </c>
      <c r="C32" s="282">
        <f>班线包车!C50+公交!C61+出租!C61+网约车!C61</f>
        <v>297.791576489172</v>
      </c>
      <c r="D32" s="280">
        <f t="shared" si="0"/>
        <v>-0.0562823582814185</v>
      </c>
      <c r="E32" s="280"/>
      <c r="F32" s="280"/>
      <c r="G32" s="280"/>
      <c r="H32" s="280"/>
      <c r="I32" s="670"/>
      <c r="J32" s="282">
        <f>班线包车!V50+公交!V61+出租!V61+网约车!V61</f>
        <v>315.551562591191</v>
      </c>
      <c r="K32" s="280">
        <f t="shared" si="1"/>
        <v>-0.363573411385543</v>
      </c>
      <c r="L32" s="282">
        <f>班线包车!X50+公交!X61+出租!X61+网约车!X61</f>
        <v>326.057620244952</v>
      </c>
      <c r="M32" s="280">
        <f t="shared" si="2"/>
        <v>-0.31689785852857</v>
      </c>
      <c r="N32" s="282">
        <f>班线包车!Z50+公交!Z61+出租!Z61+网约车!Z61</f>
        <v>330.498721511718</v>
      </c>
      <c r="O32" s="280">
        <f t="shared" si="3"/>
        <v>-0.309727912354407</v>
      </c>
      <c r="P32" s="282">
        <f>班线包车!AB50+公交!AB61+出租!AB61+网约车!AB61</f>
        <v>333.513486401592</v>
      </c>
      <c r="Q32" s="280">
        <f t="shared" si="4"/>
        <v>-0.289518862607926</v>
      </c>
      <c r="R32" s="282">
        <f>班线包车!AD50+公交!AD61+出租!AD61+网约车!AD61</f>
        <v>358.185783621813</v>
      </c>
      <c r="S32" s="280">
        <f t="shared" si="5"/>
        <v>-0.221800387732693</v>
      </c>
      <c r="T32" s="282">
        <f>班线包车!AF50+公交!AF61+出租!AF61+网约车!AF61</f>
        <v>340.872285633288</v>
      </c>
      <c r="U32" s="280">
        <f t="shared" si="6"/>
        <v>-0.369508003580207</v>
      </c>
      <c r="V32" s="282">
        <f>班线包车!AH50+公交!AH61+出租!AH61+网约车!AH61</f>
        <v>235.204950066061</v>
      </c>
      <c r="W32" s="280">
        <f t="shared" si="7"/>
        <v>-0.527484237350065</v>
      </c>
      <c r="X32" s="282">
        <f>班线包车!AJ50+公交!AJ61+出租!AJ61+网约车!AJ61</f>
        <v>207.166737548314</v>
      </c>
      <c r="Y32" s="280">
        <f t="shared" si="8"/>
        <v>-0.62610913914716</v>
      </c>
      <c r="Z32" s="282">
        <f>班线包车!AL50+公交!AL61+出租!AL61+网约车!AL61</f>
        <v>204.683664742874</v>
      </c>
      <c r="AA32" s="280">
        <f t="shared" si="9"/>
        <v>-0.563907622907492</v>
      </c>
      <c r="AB32" s="282">
        <f>班线包车!AN50+公交!AN61+出租!AN61+网约车!AN61</f>
        <v>215.805583971414</v>
      </c>
      <c r="AC32" s="280">
        <f t="shared" si="10"/>
        <v>-0.542905964052247</v>
      </c>
      <c r="AD32" s="282">
        <f>班线包车!AP50+公交!AP61+出租!AP61+网约车!AP61</f>
        <v>229.223544741422</v>
      </c>
      <c r="AE32" s="280">
        <f t="shared" si="11"/>
        <v>-0.458035607777703</v>
      </c>
      <c r="AF32" s="282">
        <f>班线包车!AR50+公交!AR61+出租!AR61+网约车!AR61</f>
        <v>269.825317122519</v>
      </c>
      <c r="AG32" s="280">
        <f t="shared" si="12"/>
        <v>-0.383345701668739</v>
      </c>
      <c r="AH32" s="282">
        <f t="shared" si="13"/>
        <v>3096.76394107464</v>
      </c>
      <c r="AI32" s="280">
        <f t="shared" si="14"/>
        <v>-0.419925100400259</v>
      </c>
      <c r="AJ32" s="281"/>
      <c r="AK32" s="282">
        <f>班线包车!AW50+公交!AW61+出租!AW61+网约车!AW61</f>
        <v>495.817692466569</v>
      </c>
      <c r="AL32" s="281"/>
      <c r="AM32" s="282">
        <f>班线包车!AY50+公交!AY61+出租!AY61+网约车!AY61</f>
        <v>477.318984160422</v>
      </c>
      <c r="AN32" s="281"/>
      <c r="AO32" s="282">
        <f>班线包车!BA50+公交!BA61+出租!BA61+网约车!BA61</f>
        <v>478.794851228877</v>
      </c>
      <c r="AP32" s="281"/>
      <c r="AQ32" s="282">
        <f>班线包车!BC50+公交!BC61+出租!BC61+网约车!BC61</f>
        <v>469.419198975222</v>
      </c>
      <c r="AR32" s="281"/>
      <c r="AS32" s="282">
        <f>班线包车!BE50+公交!BE61+出租!BE61+网约车!BE61</f>
        <v>460.274944854096</v>
      </c>
      <c r="AT32" s="281"/>
      <c r="AU32" s="282">
        <f>班线包车!BG50+公交!BG61+出租!BG61+网约车!BG61</f>
        <v>540.644905199287</v>
      </c>
      <c r="AV32" s="281"/>
      <c r="AW32" s="282">
        <f>班线包车!BI50+公交!BI61+出租!BI61+网约车!BI61</f>
        <v>497.771648393269</v>
      </c>
      <c r="AX32" s="281"/>
      <c r="AY32" s="282">
        <f>班线包车!BK50+公交!BK61+出租!BK61+网约车!BK61</f>
        <v>554.083448511605</v>
      </c>
      <c r="AZ32" s="281"/>
      <c r="BA32" s="282">
        <f>班线包车!BM50+公交!BM61+出租!BM61+网约车!BM61</f>
        <v>469.358501764075</v>
      </c>
      <c r="BB32" s="281"/>
      <c r="BC32" s="282">
        <f>班线包车!BO50+公交!BO61+出租!BO61+网约车!BO61</f>
        <v>472.125136185502</v>
      </c>
      <c r="BD32" s="281"/>
      <c r="BE32" s="282">
        <f>班线包车!BQ50+公交!BQ61+出租!BQ61+网约车!BQ61</f>
        <v>422.949455777901</v>
      </c>
      <c r="BF32" s="281"/>
      <c r="BG32" s="282">
        <f>班线包车!BS50+公交!BS61+出租!BS61+网约车!BS61</f>
        <v>437.563344409822</v>
      </c>
      <c r="BH32" s="281"/>
      <c r="BI32" s="282">
        <f>班线包车!BU50+公交!BU61+出租!BU61+网约车!BU61</f>
        <v>5776.12211192665</v>
      </c>
      <c r="BJ32" s="281"/>
      <c r="BK32" s="281"/>
      <c r="BL32" s="281"/>
      <c r="BM32" s="281"/>
      <c r="BN32" s="281"/>
      <c r="BO32" s="281"/>
      <c r="BP32" s="281"/>
      <c r="BQ32" s="281"/>
      <c r="BR32" s="281"/>
      <c r="BS32" s="281"/>
      <c r="BT32" s="281"/>
      <c r="BU32" s="281"/>
      <c r="BV32" s="281"/>
      <c r="BW32" s="281"/>
      <c r="BX32" s="281"/>
      <c r="BY32" s="281"/>
      <c r="BZ32" s="281"/>
      <c r="CA32" s="281"/>
      <c r="CB32" s="281"/>
      <c r="CC32" s="281"/>
      <c r="CD32" s="281"/>
      <c r="CE32" s="281"/>
      <c r="CF32" s="281"/>
      <c r="CG32" s="281"/>
      <c r="CH32" s="281"/>
      <c r="CI32" s="281"/>
      <c r="CJ32" s="281"/>
      <c r="CK32" s="281"/>
      <c r="CL32" s="282"/>
    </row>
    <row r="33" s="256" customFormat="1" ht="31.2" customHeight="1" spans="1:90">
      <c r="A33" s="29"/>
      <c r="B33" s="277" t="s">
        <v>194</v>
      </c>
      <c r="C33" s="282">
        <f>班线包车!C51+公交!C62+出租!C62+网约车!C62</f>
        <v>2196.58564843769</v>
      </c>
      <c r="D33" s="280">
        <f t="shared" si="0"/>
        <v>-0.0974185637087285</v>
      </c>
      <c r="E33" s="280"/>
      <c r="F33" s="280"/>
      <c r="G33" s="280"/>
      <c r="H33" s="280"/>
      <c r="I33" s="670"/>
      <c r="J33" s="282">
        <f>班线包车!V51+公交!V62+出租!V62+网约车!V62</f>
        <v>2433.67031507264</v>
      </c>
      <c r="K33" s="280">
        <f t="shared" si="1"/>
        <v>-0.235809279576693</v>
      </c>
      <c r="L33" s="282">
        <f>班线包车!X51+公交!X62+出租!X62+网约车!X62</f>
        <v>2497.18310274405</v>
      </c>
      <c r="M33" s="280">
        <f t="shared" si="2"/>
        <v>-0.204454067401643</v>
      </c>
      <c r="N33" s="282">
        <f>班线包车!Z51+公交!Z62+出租!Z62+网约车!Z62</f>
        <v>2480.8368069992</v>
      </c>
      <c r="O33" s="280">
        <f t="shared" si="3"/>
        <v>-0.165995006820217</v>
      </c>
      <c r="P33" s="282">
        <f>班线包车!AB51+公交!AB62+出租!AB62+网约车!AB62</f>
        <v>2584.6415276817</v>
      </c>
      <c r="Q33" s="280">
        <f t="shared" si="4"/>
        <v>-0.122324163678354</v>
      </c>
      <c r="R33" s="282">
        <f>班线包车!AD51+公交!AD62+出租!AD62+网约车!AD62</f>
        <v>2777.36067887844</v>
      </c>
      <c r="S33" s="280">
        <f t="shared" si="5"/>
        <v>-0.045408299776027</v>
      </c>
      <c r="T33" s="282">
        <f>班线包车!AF51+公交!AF62+出租!AF62+网约车!AF62</f>
        <v>2758.65947934947</v>
      </c>
      <c r="U33" s="280">
        <f t="shared" si="6"/>
        <v>-0.143158134694161</v>
      </c>
      <c r="V33" s="282">
        <f>班线包车!AH51+公交!AH62+出租!AH62+网约车!AH62</f>
        <v>1892.29145088618</v>
      </c>
      <c r="W33" s="280">
        <f t="shared" si="7"/>
        <v>-0.387136603236074</v>
      </c>
      <c r="X33" s="282">
        <f>班线包车!AJ51+公交!AJ62+出租!AJ62+网约车!AJ62</f>
        <v>1677.87814214794</v>
      </c>
      <c r="Y33" s="280">
        <f t="shared" si="8"/>
        <v>-0.483951023238617</v>
      </c>
      <c r="Z33" s="282">
        <f>班线包车!AL51+公交!AL62+出租!AL62+网约车!AL62</f>
        <v>1695.14161777375</v>
      </c>
      <c r="AA33" s="280">
        <f t="shared" si="9"/>
        <v>-0.41693925536172</v>
      </c>
      <c r="AB33" s="282">
        <f>班线包车!AN51+公交!AN62+出租!AN62+网约车!AN62</f>
        <v>1676.81902987019</v>
      </c>
      <c r="AC33" s="280">
        <f t="shared" si="10"/>
        <v>-0.435601352487092</v>
      </c>
      <c r="AD33" s="282">
        <f>班线包车!AP51+公交!AP62+出租!AP62+网约车!AP62</f>
        <v>1711.74586426695</v>
      </c>
      <c r="AE33" s="280">
        <f t="shared" si="11"/>
        <v>-0.368970283554396</v>
      </c>
      <c r="AF33" s="282">
        <f>班线包车!AR51+公交!AR62+出租!AR62+网约车!AR62</f>
        <v>1876.95993123025</v>
      </c>
      <c r="AG33" s="280">
        <f t="shared" si="12"/>
        <v>-0.331117657734089</v>
      </c>
      <c r="AH33" s="282">
        <f t="shared" si="13"/>
        <v>24186.2280156705</v>
      </c>
      <c r="AI33" s="280">
        <f t="shared" si="14"/>
        <v>-0.273731562879588</v>
      </c>
      <c r="AJ33" s="281"/>
      <c r="AK33" s="282">
        <f>班线包车!AW51+公交!AW62+出租!AW62+网约车!AW62</f>
        <v>3184.63735561269</v>
      </c>
      <c r="AL33" s="281"/>
      <c r="AM33" s="282">
        <f>班线包车!AY51+公交!AY62+出租!AY62+网约车!AY62</f>
        <v>3138.95527639482</v>
      </c>
      <c r="AN33" s="281"/>
      <c r="AO33" s="282">
        <f>班线包车!BA51+公交!BA62+出租!BA62+网约车!BA62</f>
        <v>2974.60665977622</v>
      </c>
      <c r="AP33" s="281"/>
      <c r="AQ33" s="282">
        <f>班线包车!BC51+公交!BC62+出租!BC62+网约车!BC62</f>
        <v>2944.87032765306</v>
      </c>
      <c r="AR33" s="281"/>
      <c r="AS33" s="282">
        <f>班线包车!BE51+公交!BE62+出租!BE62+网约车!BE62</f>
        <v>2909.47499148253</v>
      </c>
      <c r="AT33" s="281"/>
      <c r="AU33" s="282">
        <f>班线包车!BG51+公交!BG62+出租!BG62+网约车!BG62</f>
        <v>3219.56663306222</v>
      </c>
      <c r="AV33" s="281"/>
      <c r="AW33" s="282">
        <f>班线包车!BI51+公交!BI62+出租!BI62+网约车!BI62</f>
        <v>3087.62354038103</v>
      </c>
      <c r="AX33" s="281"/>
      <c r="AY33" s="282">
        <f>班线包车!BK51+公交!BK62+出租!BK62+网约车!BK62</f>
        <v>3251.39321596558</v>
      </c>
      <c r="AZ33" s="281"/>
      <c r="BA33" s="282">
        <f>班线包车!BM51+公交!BM62+出租!BM62+网约车!BM62</f>
        <v>2907.31563282551</v>
      </c>
      <c r="BB33" s="281"/>
      <c r="BC33" s="282">
        <f>班线包车!BO51+公交!BO62+出租!BO62+网约车!BO62</f>
        <v>2970.98343034538</v>
      </c>
      <c r="BD33" s="281"/>
      <c r="BE33" s="282">
        <f>班线包车!BQ51+公交!BQ62+出租!BQ62+网约车!BQ62</f>
        <v>2712.6232246378</v>
      </c>
      <c r="BF33" s="281"/>
      <c r="BG33" s="282">
        <f>班线包车!BS51+公交!BS62+出租!BS62+网约车!BS62</f>
        <v>2806.11374023098</v>
      </c>
      <c r="BH33" s="281"/>
      <c r="BI33" s="282">
        <f>班线包车!BU51+公交!BU62+出租!BU62+网约车!BU62</f>
        <v>36108.1640283678</v>
      </c>
      <c r="BJ33" s="281"/>
      <c r="BK33" s="281"/>
      <c r="BL33" s="281"/>
      <c r="BM33" s="281"/>
      <c r="BN33" s="281"/>
      <c r="BO33" s="281"/>
      <c r="BP33" s="281"/>
      <c r="BQ33" s="281"/>
      <c r="BR33" s="281"/>
      <c r="BS33" s="281"/>
      <c r="BT33" s="281"/>
      <c r="BU33" s="281"/>
      <c r="BV33" s="281"/>
      <c r="BW33" s="281"/>
      <c r="BX33" s="281"/>
      <c r="BY33" s="281"/>
      <c r="BZ33" s="281"/>
      <c r="CA33" s="281"/>
      <c r="CB33" s="281"/>
      <c r="CC33" s="281"/>
      <c r="CD33" s="281"/>
      <c r="CE33" s="281"/>
      <c r="CF33" s="281"/>
      <c r="CG33" s="281"/>
      <c r="CH33" s="281"/>
      <c r="CI33" s="281"/>
      <c r="CJ33" s="281"/>
      <c r="CK33" s="281"/>
      <c r="CL33" s="282"/>
    </row>
    <row r="34" s="256" customFormat="1" ht="31.2" customHeight="1" spans="1:90">
      <c r="A34" s="283" t="s">
        <v>108</v>
      </c>
      <c r="B34" s="277" t="s">
        <v>193</v>
      </c>
      <c r="C34" s="282">
        <f>班线包车!C52+公交!C65+出租!C65+网约车!C65</f>
        <v>343.774935948137</v>
      </c>
      <c r="D34" s="280">
        <f t="shared" si="0"/>
        <v>0.0582886003308516</v>
      </c>
      <c r="E34" s="280"/>
      <c r="F34" s="280"/>
      <c r="G34" s="280"/>
      <c r="H34" s="280"/>
      <c r="I34" s="670"/>
      <c r="J34" s="282">
        <f>班线包车!V52+公交!V65+出租!V65+网约车!V65</f>
        <v>324.84044129424</v>
      </c>
      <c r="K34" s="280">
        <f t="shared" si="1"/>
        <v>-0.0147690599582607</v>
      </c>
      <c r="L34" s="282">
        <f>班线包车!X52+公交!X65+出租!X65+网约车!X65</f>
        <v>308.929211948033</v>
      </c>
      <c r="M34" s="280">
        <f t="shared" si="2"/>
        <v>-0.00029332599726184</v>
      </c>
      <c r="N34" s="282">
        <f>班线包车!Z52+公交!Z65+出租!Z65+网约车!Z65</f>
        <v>289.969273283139</v>
      </c>
      <c r="O34" s="280">
        <f t="shared" si="3"/>
        <v>0.0630828998551578</v>
      </c>
      <c r="P34" s="282">
        <f>班线包车!AB52+公交!AB65+出租!AB65+网约车!AB65</f>
        <v>302.234121954732</v>
      </c>
      <c r="Q34" s="280">
        <f t="shared" si="4"/>
        <v>0.00189133300880906</v>
      </c>
      <c r="R34" s="282">
        <f>班线包车!AD52+公交!AD65+出租!AD65+网约车!AD65</f>
        <v>338.303329782914</v>
      </c>
      <c r="S34" s="280">
        <f t="shared" si="5"/>
        <v>-0.0219087350206407</v>
      </c>
      <c r="T34" s="282">
        <f>班线包车!AF52+公交!AF65+出租!AF65+网约车!AF65</f>
        <v>335.865280617149</v>
      </c>
      <c r="U34" s="280">
        <f t="shared" si="6"/>
        <v>-0.092220831796712</v>
      </c>
      <c r="V34" s="282">
        <f>班线包车!AH52+公交!AH65+出租!AH65+网约车!AH65</f>
        <v>354.822240820173</v>
      </c>
      <c r="W34" s="280">
        <f t="shared" si="7"/>
        <v>-0.0231216188722384</v>
      </c>
      <c r="X34" s="282">
        <f>班线包车!AJ52+公交!AJ65+出租!AJ65+网约车!AJ65</f>
        <v>335.243764257632</v>
      </c>
      <c r="Y34" s="280">
        <f t="shared" si="8"/>
        <v>-0.0869800933295793</v>
      </c>
      <c r="Z34" s="282">
        <f>班线包车!AL52+公交!AL65+出租!AL65+网约车!AL65</f>
        <v>321.290452256265</v>
      </c>
      <c r="AA34" s="280">
        <f t="shared" si="9"/>
        <v>-0.0286888349724381</v>
      </c>
      <c r="AB34" s="282">
        <f>班线包车!AN52+公交!AN65+出租!AN65+网约车!AN65</f>
        <v>356.510415229287</v>
      </c>
      <c r="AC34" s="280">
        <f t="shared" si="10"/>
        <v>-0.0346421432808921</v>
      </c>
      <c r="AD34" s="282">
        <f>班线包车!AP52+公交!AP65+出租!AP65+网约车!AP65</f>
        <v>327.17454725254</v>
      </c>
      <c r="AE34" s="280">
        <f t="shared" si="11"/>
        <v>0.00552847253027466</v>
      </c>
      <c r="AF34" s="282">
        <f>班线包车!AR52+公交!AR65+出租!AR65+网约车!AR65</f>
        <v>336.907902333411</v>
      </c>
      <c r="AG34" s="280">
        <f t="shared" si="12"/>
        <v>0.0291780350443578</v>
      </c>
      <c r="AH34" s="282">
        <f t="shared" si="13"/>
        <v>3595.1830786961</v>
      </c>
      <c r="AI34" s="280">
        <f t="shared" si="14"/>
        <v>-0.0243430163310268</v>
      </c>
      <c r="AJ34" s="281"/>
      <c r="AK34" s="282">
        <f>班线包车!AW52+公交!AW65+出租!AW65+网约车!AW65</f>
        <v>329.70994727437</v>
      </c>
      <c r="AL34" s="281"/>
      <c r="AM34" s="282">
        <f>班线包车!AY52+公交!AY65+出租!AY65+网约车!AY65</f>
        <v>309.019855505323</v>
      </c>
      <c r="AN34" s="281"/>
      <c r="AO34" s="282">
        <f>班线包车!BA52+公交!BA65+出租!BA65+网约车!BA65</f>
        <v>272.76261646448</v>
      </c>
      <c r="AP34" s="281"/>
      <c r="AQ34" s="282">
        <f>班线包车!BC52+公交!BC65+出租!BC65+网约车!BC65</f>
        <v>301.6635756765</v>
      </c>
      <c r="AR34" s="281"/>
      <c r="AS34" s="282">
        <f>班线包车!BE52+公交!BE65+出租!BE65+网约车!BE65</f>
        <v>345.88114820763</v>
      </c>
      <c r="AT34" s="281"/>
      <c r="AU34" s="282">
        <f>班线包车!BG52+公交!BG65+出租!BG65+网约车!BG65</f>
        <v>369.985666538159</v>
      </c>
      <c r="AV34" s="281"/>
      <c r="AW34" s="282">
        <f>班线包车!BI52+公交!BI65+出租!BI65+网约车!BI65</f>
        <v>363.220486475038</v>
      </c>
      <c r="AX34" s="281"/>
      <c r="AY34" s="282">
        <f>班线包车!BK52+公交!BK65+出租!BK65+网约车!BK65</f>
        <v>367.181221141378</v>
      </c>
      <c r="AZ34" s="281"/>
      <c r="BA34" s="282">
        <f>班线包车!BM52+公交!BM65+出租!BM65+网约车!BM65</f>
        <v>330.780149373809</v>
      </c>
      <c r="BB34" s="281"/>
      <c r="BC34" s="282">
        <f>班线包车!BO52+公交!BO65+出租!BO65+网约车!BO65</f>
        <v>369.303893626487</v>
      </c>
      <c r="BD34" s="281"/>
      <c r="BE34" s="282">
        <f>班线包车!BQ52+公交!BQ65+出租!BQ65+网约车!BQ65</f>
        <v>325.375716541622</v>
      </c>
      <c r="BF34" s="281"/>
      <c r="BG34" s="282">
        <f>班线包车!BS52+公交!BS65+出租!BS65+网约车!BS65</f>
        <v>327.356289059249</v>
      </c>
      <c r="BH34" s="281"/>
      <c r="BI34" s="282">
        <f>班线包车!BU52+公交!BU65+出租!BU65+网约车!BU65</f>
        <v>4012.24056588404</v>
      </c>
      <c r="BJ34" s="281"/>
      <c r="BK34" s="281"/>
      <c r="BL34" s="281"/>
      <c r="BM34" s="281"/>
      <c r="BN34" s="281"/>
      <c r="BO34" s="281"/>
      <c r="BP34" s="281"/>
      <c r="BQ34" s="281"/>
      <c r="BR34" s="281"/>
      <c r="BS34" s="281"/>
      <c r="BT34" s="281"/>
      <c r="BU34" s="281"/>
      <c r="BV34" s="281"/>
      <c r="BW34" s="281"/>
      <c r="BX34" s="281"/>
      <c r="BY34" s="281"/>
      <c r="BZ34" s="281"/>
      <c r="CA34" s="281"/>
      <c r="CB34" s="281"/>
      <c r="CC34" s="281"/>
      <c r="CD34" s="281"/>
      <c r="CE34" s="281"/>
      <c r="CF34" s="281"/>
      <c r="CG34" s="281"/>
      <c r="CH34" s="281"/>
      <c r="CI34" s="281"/>
      <c r="CJ34" s="281"/>
      <c r="CK34" s="281"/>
      <c r="CL34" s="282"/>
    </row>
    <row r="35" s="256" customFormat="1" ht="31.2" customHeight="1" spans="1:90">
      <c r="A35" s="29"/>
      <c r="B35" s="277" t="s">
        <v>194</v>
      </c>
      <c r="C35" s="282">
        <f>班线包车!C53+公交!C66+出租!C66+网约车!C66</f>
        <v>2966.88945262567</v>
      </c>
      <c r="D35" s="280">
        <f t="shared" si="0"/>
        <v>-0.0276633176192299</v>
      </c>
      <c r="E35" s="280"/>
      <c r="F35" s="280"/>
      <c r="G35" s="280"/>
      <c r="H35" s="280"/>
      <c r="I35" s="670"/>
      <c r="J35" s="282">
        <f>班线包车!V53+公交!V66+出租!V66+网约车!V66</f>
        <v>3051.29849195983</v>
      </c>
      <c r="K35" s="280">
        <f t="shared" si="1"/>
        <v>0.0120984515467311</v>
      </c>
      <c r="L35" s="282">
        <f>班线包车!X53+公交!X66+出租!X66+网约车!X66</f>
        <v>2840.88445948187</v>
      </c>
      <c r="M35" s="280">
        <f t="shared" si="2"/>
        <v>0.0372092277152454</v>
      </c>
      <c r="N35" s="282">
        <f>班线包车!Z53+公交!Z66+出租!Z66+网约车!Z66</f>
        <v>2589.20517385271</v>
      </c>
      <c r="O35" s="280">
        <f t="shared" si="3"/>
        <v>0.0744125766968773</v>
      </c>
      <c r="P35" s="282">
        <f>班线包车!AB53+公交!AB66+出租!AB66+网约车!AB66</f>
        <v>2737.90218758598</v>
      </c>
      <c r="Q35" s="280">
        <f t="shared" si="4"/>
        <v>0.015129383404469</v>
      </c>
      <c r="R35" s="282">
        <f>班线包车!AD53+公交!AD66+出租!AD66+网约车!AD66</f>
        <v>3011.58623356074</v>
      </c>
      <c r="S35" s="280">
        <f t="shared" si="5"/>
        <v>-0.0107490525114267</v>
      </c>
      <c r="T35" s="282">
        <f>班线包车!AF53+公交!AF66+出租!AF66+网约车!AF66</f>
        <v>3114.61576842139</v>
      </c>
      <c r="U35" s="280">
        <f t="shared" si="6"/>
        <v>-0.0565559600364071</v>
      </c>
      <c r="V35" s="282">
        <f>班线包车!AH53+公交!AH66+出租!AH66+网约车!AH66</f>
        <v>3301.37876567154</v>
      </c>
      <c r="W35" s="280">
        <f t="shared" si="7"/>
        <v>-0.0299859064421183</v>
      </c>
      <c r="X35" s="282">
        <f>班线包车!AJ53+公交!AJ66+出租!AJ66+网约车!AJ66</f>
        <v>3084.7538533684</v>
      </c>
      <c r="Y35" s="280">
        <f t="shared" si="8"/>
        <v>-0.0817894948119746</v>
      </c>
      <c r="Z35" s="282">
        <f>班线包车!AL53+公交!AL66+出租!AL66+网约车!AL66</f>
        <v>3000.96703573268</v>
      </c>
      <c r="AA35" s="280">
        <f t="shared" si="9"/>
        <v>-0.0363787643364901</v>
      </c>
      <c r="AB35" s="282">
        <f>班线包车!AN53+公交!AN66+出租!AN66+网约车!AN66</f>
        <v>3251.77025190987</v>
      </c>
      <c r="AC35" s="280">
        <f t="shared" si="10"/>
        <v>-0.0445827623461155</v>
      </c>
      <c r="AD35" s="282">
        <f>班线包车!AP53+公交!AP66+出租!AP66+网约车!AP66</f>
        <v>2963.99388307079</v>
      </c>
      <c r="AE35" s="280">
        <f t="shared" si="11"/>
        <v>-0.023130519919632</v>
      </c>
      <c r="AF35" s="282">
        <f>班线包车!AR53+公交!AR66+出租!AR66+网约车!AR66</f>
        <v>3003.15808746919</v>
      </c>
      <c r="AG35" s="280">
        <f t="shared" si="12"/>
        <v>-0.0151266474721966</v>
      </c>
      <c r="AH35" s="282">
        <f t="shared" si="13"/>
        <v>32948.3561046158</v>
      </c>
      <c r="AI35" s="280">
        <f t="shared" si="14"/>
        <v>-0.0170922488092969</v>
      </c>
      <c r="AJ35" s="281"/>
      <c r="AK35" s="282">
        <f>班线包车!AW53+公交!AW66+出租!AW66+网约车!AW66</f>
        <v>3014.82379238572</v>
      </c>
      <c r="AL35" s="281"/>
      <c r="AM35" s="282">
        <f>班线包车!AY53+公交!AY66+出租!AY66+网约车!AY66</f>
        <v>2738.96951894628</v>
      </c>
      <c r="AN35" s="281"/>
      <c r="AO35" s="282">
        <f>班线包车!BA53+公交!BA66+出租!BA66+网约车!BA66</f>
        <v>2409.87980782284</v>
      </c>
      <c r="AP35" s="281"/>
      <c r="AQ35" s="282">
        <f>班线包车!BC53+公交!BC66+出租!BC66+网约车!BC66</f>
        <v>2697.09677637721</v>
      </c>
      <c r="AR35" s="281"/>
      <c r="AS35" s="282">
        <f>班线包车!BE53+公交!BE66+出租!BE66+网约车!BE66</f>
        <v>3044.30967815224</v>
      </c>
      <c r="AT35" s="281"/>
      <c r="AU35" s="282">
        <f>班线包车!BG53+公交!BG66+出租!BG66+网约车!BG66</f>
        <v>3301.32539555985</v>
      </c>
      <c r="AV35" s="281"/>
      <c r="AW35" s="282">
        <f>班线包车!BI53+公交!BI66+出租!BI66+网约车!BI66</f>
        <v>3403.43381358772</v>
      </c>
      <c r="AX35" s="281"/>
      <c r="AY35" s="282">
        <f>班线包车!BK53+公交!BK66+出租!BK66+网约车!BK66</f>
        <v>3359.5279469567</v>
      </c>
      <c r="AZ35" s="281"/>
      <c r="BA35" s="282">
        <f>班线包车!BM53+公交!BM66+出租!BM66+网约车!BM66</f>
        <v>3114.25996508507</v>
      </c>
      <c r="BB35" s="281"/>
      <c r="BC35" s="282">
        <f>班线包车!BO53+公交!BO66+出租!BO66+网约车!BO66</f>
        <v>3403.50804209363</v>
      </c>
      <c r="BD35" s="281"/>
      <c r="BE35" s="282">
        <f>班线包车!BQ53+公交!BQ66+出租!BQ66+网约车!BQ66</f>
        <v>3034.17595032955</v>
      </c>
      <c r="BF35" s="281"/>
      <c r="BG35" s="282">
        <f>班线包车!BS53+公交!BS66+出租!BS66+网约车!BS66</f>
        <v>3049.28352438535</v>
      </c>
      <c r="BH35" s="281"/>
      <c r="BI35" s="282">
        <f>班线包车!BU53+公交!BU66+出租!BU66+网约车!BU66</f>
        <v>36570.5942116822</v>
      </c>
      <c r="BJ35" s="281"/>
      <c r="BK35" s="281"/>
      <c r="BL35" s="281"/>
      <c r="BM35" s="281"/>
      <c r="BN35" s="281"/>
      <c r="BO35" s="281"/>
      <c r="BP35" s="281"/>
      <c r="BQ35" s="281"/>
      <c r="BR35" s="281"/>
      <c r="BS35" s="281"/>
      <c r="BT35" s="281"/>
      <c r="BU35" s="281"/>
      <c r="BV35" s="281"/>
      <c r="BW35" s="281"/>
      <c r="BX35" s="281"/>
      <c r="BY35" s="281"/>
      <c r="BZ35" s="281"/>
      <c r="CA35" s="281"/>
      <c r="CB35" s="281"/>
      <c r="CC35" s="281"/>
      <c r="CD35" s="281"/>
      <c r="CE35" s="281"/>
      <c r="CF35" s="281"/>
      <c r="CG35" s="281"/>
      <c r="CH35" s="281"/>
      <c r="CI35" s="281"/>
      <c r="CJ35" s="281"/>
      <c r="CK35" s="281"/>
      <c r="CL35" s="282"/>
    </row>
    <row r="36" s="256" customFormat="1" ht="31.2" customHeight="1" spans="1:90">
      <c r="A36" s="283" t="s">
        <v>111</v>
      </c>
      <c r="B36" s="277" t="s">
        <v>193</v>
      </c>
      <c r="C36" s="282">
        <f>班线包车!C54+公交!C69+出租!C69+网约车!C69</f>
        <v>272.968904657234</v>
      </c>
      <c r="D36" s="280">
        <f t="shared" si="0"/>
        <v>0.141953031591993</v>
      </c>
      <c r="E36" s="280"/>
      <c r="F36" s="280"/>
      <c r="G36" s="280"/>
      <c r="H36" s="280"/>
      <c r="I36" s="670"/>
      <c r="J36" s="282">
        <f>班线包车!V54+公交!V69+出租!V69+网约车!V69</f>
        <v>239.036893029383</v>
      </c>
      <c r="K36" s="280">
        <f t="shared" si="1"/>
        <v>-0.124736880493531</v>
      </c>
      <c r="L36" s="282">
        <f>班线包车!X54+公交!X69+出租!X69+网约车!X69</f>
        <v>235.817692241854</v>
      </c>
      <c r="M36" s="280">
        <f t="shared" si="2"/>
        <v>-0.130344066987132</v>
      </c>
      <c r="N36" s="282">
        <f>班线包车!Z54+公交!Z69+出租!Z69+网约车!Z69</f>
        <v>233.183895250364</v>
      </c>
      <c r="O36" s="280">
        <f t="shared" si="3"/>
        <v>-0.0935054038449006</v>
      </c>
      <c r="P36" s="282">
        <f>班线包车!AB54+公交!AB69+出租!AB69+网约车!AB69</f>
        <v>223.044468794194</v>
      </c>
      <c r="Q36" s="280">
        <f t="shared" si="4"/>
        <v>-0.0844565507285571</v>
      </c>
      <c r="R36" s="282">
        <f>班线包车!AD54+公交!AD69+出租!AD69+网约车!AD69</f>
        <v>233.194642606634</v>
      </c>
      <c r="S36" s="280">
        <f t="shared" si="5"/>
        <v>-0.0739410335954188</v>
      </c>
      <c r="T36" s="282">
        <f>班线包车!AF54+公交!AF69+出租!AF69+网约车!AF69</f>
        <v>215.807189183599</v>
      </c>
      <c r="U36" s="280">
        <f t="shared" si="6"/>
        <v>-0.24496613013493</v>
      </c>
      <c r="V36" s="282">
        <f>班线包车!AH54+公交!AH69+出租!AH69+网约车!AH69</f>
        <v>212.560879833532</v>
      </c>
      <c r="W36" s="280">
        <f t="shared" si="7"/>
        <v>-0.165999941901822</v>
      </c>
      <c r="X36" s="282">
        <f>班线包车!AJ54+公交!AJ69+出租!AJ69+网约车!AJ69</f>
        <v>208.501838376143</v>
      </c>
      <c r="Y36" s="280">
        <f t="shared" si="8"/>
        <v>-0.280126085441732</v>
      </c>
      <c r="Z36" s="282">
        <f>班线包车!AL54+公交!AL69+出租!AL69+网约车!AL69</f>
        <v>202.487610774336</v>
      </c>
      <c r="AA36" s="280">
        <f t="shared" si="9"/>
        <v>-0.182114700023738</v>
      </c>
      <c r="AB36" s="282">
        <f>班线包车!AN54+公交!AN69+出租!AN69+网约车!AN69</f>
        <v>227.969396359923</v>
      </c>
      <c r="AC36" s="280">
        <f t="shared" si="10"/>
        <v>-0.128937392601928</v>
      </c>
      <c r="AD36" s="282">
        <f>班线包车!AP54+公交!AP69+出租!AP69+网约车!AP69</f>
        <v>226.071313881679</v>
      </c>
      <c r="AE36" s="280">
        <f t="shared" si="11"/>
        <v>-0.0825428875913538</v>
      </c>
      <c r="AF36" s="282">
        <f>班线包车!AR54+公交!AR69+出租!AR69+网约车!AR69</f>
        <v>243.794376793538</v>
      </c>
      <c r="AG36" s="280">
        <f t="shared" si="12"/>
        <v>0.00774434145274805</v>
      </c>
      <c r="AH36" s="282">
        <f t="shared" si="13"/>
        <v>2457.67582033164</v>
      </c>
      <c r="AI36" s="280">
        <f t="shared" si="14"/>
        <v>-0.147518109140745</v>
      </c>
      <c r="AJ36" s="281"/>
      <c r="AK36" s="282">
        <f>班线包车!AW54+公交!AW69+出租!AW69+网约车!AW69</f>
        <v>273.102896377226</v>
      </c>
      <c r="AL36" s="281"/>
      <c r="AM36" s="282">
        <f>班线包车!AY54+公交!AY69+出租!AY69+网约车!AY69</f>
        <v>271.162057648338</v>
      </c>
      <c r="AN36" s="281"/>
      <c r="AO36" s="282">
        <f>班线包车!BA54+公交!BA69+出租!BA69+网约车!BA69</f>
        <v>257.236939127287</v>
      </c>
      <c r="AP36" s="281"/>
      <c r="AQ36" s="282">
        <f>班线包车!BC54+公交!BC69+出租!BC69+网约车!BC69</f>
        <v>243.619752805489</v>
      </c>
      <c r="AR36" s="281"/>
      <c r="AS36" s="282">
        <f>班线包车!BE54+公交!BE69+出租!BE69+网约车!BE69</f>
        <v>251.814032439004</v>
      </c>
      <c r="AT36" s="281"/>
      <c r="AU36" s="282">
        <f>班线包车!BG54+公交!BG69+出租!BG69+网约车!BG69</f>
        <v>285.824514365382</v>
      </c>
      <c r="AV36" s="281"/>
      <c r="AW36" s="282">
        <f>班线包车!BI54+公交!BI69+出租!BI69+网约车!BI69</f>
        <v>254.869142717145</v>
      </c>
      <c r="AX36" s="281"/>
      <c r="AY36" s="282">
        <f>班线包车!BK54+公交!BK69+出租!BK69+网约车!BK69</f>
        <v>289.636607410737</v>
      </c>
      <c r="AZ36" s="281"/>
      <c r="BA36" s="282">
        <f>班线包车!BM54+公交!BM69+出租!BM69+网约车!BM69</f>
        <v>247.574581399389</v>
      </c>
      <c r="BB36" s="281"/>
      <c r="BC36" s="282">
        <f>班线包车!BO54+公交!BO69+出租!BO69+网约车!BO69</f>
        <v>261.714134464897</v>
      </c>
      <c r="BD36" s="281"/>
      <c r="BE36" s="282">
        <f>班线包车!BQ54+公交!BQ69+出租!BQ69+网约车!BQ69</f>
        <v>246.410770404474</v>
      </c>
      <c r="BF36" s="281"/>
      <c r="BG36" s="282">
        <f>班线包车!BS54+公交!BS69+出租!BS69+网约车!BS69</f>
        <v>241.920859056463</v>
      </c>
      <c r="BH36" s="281"/>
      <c r="BI36" s="282">
        <f>班线包车!BU54+公交!BU69+出租!BU69+网约车!BU69</f>
        <v>3124.88628821583</v>
      </c>
      <c r="BJ36" s="281"/>
      <c r="BK36" s="281"/>
      <c r="BL36" s="281"/>
      <c r="BM36" s="281"/>
      <c r="BN36" s="281"/>
      <c r="BO36" s="281"/>
      <c r="BP36" s="281"/>
      <c r="BQ36" s="281"/>
      <c r="BR36" s="281"/>
      <c r="BS36" s="281"/>
      <c r="BT36" s="281"/>
      <c r="BU36" s="281"/>
      <c r="BV36" s="281"/>
      <c r="BW36" s="281"/>
      <c r="BX36" s="281"/>
      <c r="BY36" s="281"/>
      <c r="BZ36" s="281"/>
      <c r="CA36" s="281"/>
      <c r="CB36" s="281"/>
      <c r="CC36" s="281"/>
      <c r="CD36" s="281"/>
      <c r="CE36" s="281"/>
      <c r="CF36" s="281"/>
      <c r="CG36" s="281"/>
      <c r="CH36" s="281"/>
      <c r="CI36" s="281"/>
      <c r="CJ36" s="281"/>
      <c r="CK36" s="281"/>
      <c r="CL36" s="282"/>
    </row>
    <row r="37" s="256" customFormat="1" ht="31.2" customHeight="1" spans="1:90">
      <c r="A37" s="29"/>
      <c r="B37" s="277" t="s">
        <v>194</v>
      </c>
      <c r="C37" s="282">
        <f>班线包车!C55+公交!C70+出租!C70+网约车!C70</f>
        <v>2650.0767298347</v>
      </c>
      <c r="D37" s="280">
        <f t="shared" si="0"/>
        <v>-0.17038512580622</v>
      </c>
      <c r="E37" s="280"/>
      <c r="F37" s="280"/>
      <c r="G37" s="280"/>
      <c r="H37" s="280"/>
      <c r="I37" s="670"/>
      <c r="J37" s="282">
        <f>班线包车!V55+公交!V70+出租!V70+网约车!V70</f>
        <v>3194.34572868531</v>
      </c>
      <c r="K37" s="280">
        <f t="shared" si="1"/>
        <v>-0.0458745217742056</v>
      </c>
      <c r="L37" s="282">
        <f>班线包车!X55+公交!X70+出租!X70+网约车!X70</f>
        <v>3342.68976499318</v>
      </c>
      <c r="M37" s="280">
        <f t="shared" si="2"/>
        <v>-0.0567809332906827</v>
      </c>
      <c r="N37" s="282">
        <f>班线包车!Z55+公交!Z70+出租!Z70+网约车!Z70</f>
        <v>2732.11293048378</v>
      </c>
      <c r="O37" s="280">
        <f t="shared" si="3"/>
        <v>-0.118798765361303</v>
      </c>
      <c r="P37" s="282">
        <f>班线包车!AB55+公交!AB70+出租!AB70+网约车!AB70</f>
        <v>2781.87804380407</v>
      </c>
      <c r="Q37" s="280">
        <f t="shared" si="4"/>
        <v>-0.0119075945453584</v>
      </c>
      <c r="R37" s="282">
        <f>班线包车!AD55+公交!AD70+出租!AD70+网约车!AD70</f>
        <v>2680.80135006853</v>
      </c>
      <c r="S37" s="280">
        <f t="shared" si="5"/>
        <v>-0.116250265629581</v>
      </c>
      <c r="T37" s="282">
        <f>班线包车!AF55+公交!AF70+出租!AF70+网约车!AF70</f>
        <v>2418.83241863273</v>
      </c>
      <c r="U37" s="280">
        <f t="shared" si="6"/>
        <v>-0.198757925240183</v>
      </c>
      <c r="V37" s="282">
        <f>班线包车!AH55+公交!AH70+出租!AH70+网约车!AH70</f>
        <v>2863.18396659526</v>
      </c>
      <c r="W37" s="280">
        <f t="shared" si="7"/>
        <v>0.0213494333364121</v>
      </c>
      <c r="X37" s="282">
        <f>班线包车!AJ55+公交!AJ70+出租!AJ70+网约车!AJ70</f>
        <v>2700.78756949746</v>
      </c>
      <c r="Y37" s="280">
        <f t="shared" si="8"/>
        <v>-0.123558660285654</v>
      </c>
      <c r="Z37" s="282">
        <f>班线包车!AL55+公交!AL70+出租!AL70+网约车!AL70</f>
        <v>2408.46302131412</v>
      </c>
      <c r="AA37" s="280">
        <f t="shared" si="9"/>
        <v>-0.153685134385487</v>
      </c>
      <c r="AB37" s="282">
        <f>班线包车!AN55+公交!AN70+出租!AN70+网约车!AN70</f>
        <v>2792.29871680994</v>
      </c>
      <c r="AC37" s="280">
        <f t="shared" si="10"/>
        <v>-0.066781854714101</v>
      </c>
      <c r="AD37" s="282">
        <f>班线包车!AP55+公交!AP70+出租!AP70+网约车!AP70</f>
        <v>2406.37362961324</v>
      </c>
      <c r="AE37" s="280">
        <f t="shared" si="11"/>
        <v>-0.151501140461247</v>
      </c>
      <c r="AF37" s="282">
        <f>班线包车!AR55+公交!AR70+出租!AR70+网约车!AR70</f>
        <v>2339.18617278163</v>
      </c>
      <c r="AG37" s="280">
        <f t="shared" si="12"/>
        <v>-0.0711862986018476</v>
      </c>
      <c r="AH37" s="282">
        <f t="shared" si="13"/>
        <v>30321.7671404976</v>
      </c>
      <c r="AI37" s="280">
        <f t="shared" si="14"/>
        <v>-0.0926743253208936</v>
      </c>
      <c r="AJ37" s="281"/>
      <c r="AK37" s="282">
        <f>班线包车!AW55+公交!AW70+出租!AW70+网约车!AW70</f>
        <v>3347.93043638791</v>
      </c>
      <c r="AL37" s="281"/>
      <c r="AM37" s="282">
        <f>班线包车!AY55+公交!AY70+出租!AY70+网约车!AY70</f>
        <v>3543.91666047962</v>
      </c>
      <c r="AN37" s="281"/>
      <c r="AO37" s="282">
        <f>班线包车!BA55+公交!BA70+出租!BA70+网约车!BA70</f>
        <v>3100.44155987137</v>
      </c>
      <c r="AP37" s="281"/>
      <c r="AQ37" s="282">
        <f>班线包车!BC55+公交!BC70+出租!BC70+网约车!BC70</f>
        <v>2815.40271785013</v>
      </c>
      <c r="AR37" s="281"/>
      <c r="AS37" s="282">
        <f>班线包车!BE55+公交!BE70+出租!BE70+网约车!BE70</f>
        <v>3033.4394974142</v>
      </c>
      <c r="AT37" s="281"/>
      <c r="AU37" s="282">
        <f>班线包车!BG55+公交!BG70+出租!BG70+网约车!BG70</f>
        <v>3018.85347116576</v>
      </c>
      <c r="AV37" s="281"/>
      <c r="AW37" s="282">
        <f>班线包车!BI55+公交!BI70+出租!BI70+网约车!BI70</f>
        <v>2803.3343664197</v>
      </c>
      <c r="AX37" s="281"/>
      <c r="AY37" s="282">
        <f>班线包车!BK55+公交!BK70+出租!BK70+网约车!BK70</f>
        <v>3081.53831536257</v>
      </c>
      <c r="AZ37" s="281"/>
      <c r="BA37" s="282">
        <f>班线包车!BM55+公交!BM70+出租!BM70+网约车!BM70</f>
        <v>2845.82384071125</v>
      </c>
      <c r="BB37" s="281"/>
      <c r="BC37" s="282">
        <f>班线包车!BO55+公交!BO70+出租!BO70+网约车!BO70</f>
        <v>2992.11789967339</v>
      </c>
      <c r="BD37" s="281"/>
      <c r="BE37" s="282">
        <f>班线包车!BQ55+公交!BQ70+出租!BQ70+网约车!BQ70</f>
        <v>2836.03637478235</v>
      </c>
      <c r="BF37" s="281"/>
      <c r="BG37" s="282">
        <f>班线包车!BS55+公交!BS70+出租!BS70+网约车!BS70</f>
        <v>2518.4664796185</v>
      </c>
      <c r="BH37" s="281"/>
      <c r="BI37" s="282">
        <f>班线包车!BU55+公交!BU70+出租!BU70+网约车!BU70</f>
        <v>35937.3016197367</v>
      </c>
      <c r="BJ37" s="281"/>
      <c r="BK37" s="281"/>
      <c r="BL37" s="281"/>
      <c r="BM37" s="281"/>
      <c r="BN37" s="281"/>
      <c r="BO37" s="282"/>
      <c r="BP37" s="282"/>
      <c r="BQ37" s="282"/>
      <c r="BR37" s="282"/>
      <c r="BS37" s="282"/>
      <c r="BT37" s="282"/>
      <c r="BU37" s="282"/>
      <c r="BV37" s="282"/>
      <c r="BW37" s="282"/>
      <c r="BX37" s="282"/>
      <c r="BY37" s="282"/>
      <c r="BZ37" s="282"/>
      <c r="CA37" s="282"/>
      <c r="CB37" s="282"/>
      <c r="CC37" s="282"/>
      <c r="CD37" s="671"/>
      <c r="CE37" s="282"/>
      <c r="CF37" s="671"/>
      <c r="CG37" s="282"/>
      <c r="CH37" s="671"/>
      <c r="CI37" s="282"/>
      <c r="CJ37" s="282"/>
      <c r="CK37" s="282"/>
      <c r="CL37" s="282"/>
    </row>
    <row r="38" s="256" customFormat="1" ht="31.2" customHeight="1" spans="1:90">
      <c r="A38" s="283" t="s">
        <v>112</v>
      </c>
      <c r="B38" s="277" t="s">
        <v>193</v>
      </c>
      <c r="C38" s="282">
        <f>班线包车!C56+公交!C73+出租!C73+网约车!C73</f>
        <v>32.1316722124135</v>
      </c>
      <c r="D38" s="280">
        <f t="shared" si="0"/>
        <v>-0.0424949163547377</v>
      </c>
      <c r="E38" s="280"/>
      <c r="F38" s="280"/>
      <c r="G38" s="280"/>
      <c r="H38" s="280"/>
      <c r="I38" s="670"/>
      <c r="J38" s="282">
        <f>班线包车!V56+公交!V73+出租!V73+网约车!V73</f>
        <v>33.5577040385905</v>
      </c>
      <c r="K38" s="280">
        <f t="shared" si="1"/>
        <v>0.114183526288881</v>
      </c>
      <c r="L38" s="282">
        <f>班线包车!X56+公交!X73+出租!X73+网约车!X73</f>
        <v>30.6816885397667</v>
      </c>
      <c r="M38" s="280">
        <f t="shared" si="2"/>
        <v>-0.00480015333324169</v>
      </c>
      <c r="N38" s="282">
        <f>班线包车!Z56+公交!Z73+出租!Z73+网约车!Z73</f>
        <v>29.20524362043</v>
      </c>
      <c r="O38" s="280">
        <f t="shared" si="3"/>
        <v>0.148773566258835</v>
      </c>
      <c r="P38" s="282">
        <f>班线包车!AB56+公交!AB73+出租!AB73+网约车!AB73</f>
        <v>34.582466781721</v>
      </c>
      <c r="Q38" s="280">
        <f t="shared" si="4"/>
        <v>0.192526342367408</v>
      </c>
      <c r="R38" s="282">
        <f>班线包车!AD56+公交!AD73+出租!AD73+网约车!AD73</f>
        <v>36.8361062197872</v>
      </c>
      <c r="S38" s="280">
        <f t="shared" si="5"/>
        <v>0.138003159387127</v>
      </c>
      <c r="T38" s="282">
        <f>班线包车!AF56+公交!AF73+出租!AF73+网约车!AF73</f>
        <v>33.2431658202324</v>
      </c>
      <c r="U38" s="280">
        <f t="shared" si="6"/>
        <v>0.0783547233427977</v>
      </c>
      <c r="V38" s="282">
        <f>班线包车!AH56+公交!AH73+出租!AH73+网约车!AH73</f>
        <v>47.6983085166095</v>
      </c>
      <c r="W38" s="280">
        <f t="shared" si="7"/>
        <v>0.175525991217288</v>
      </c>
      <c r="X38" s="282">
        <f>班线包车!AJ56+公交!AJ73+出租!AJ73+网约车!AJ73</f>
        <v>51.7002976335881</v>
      </c>
      <c r="Y38" s="280">
        <f t="shared" si="8"/>
        <v>-0.0710588631340385</v>
      </c>
      <c r="Z38" s="282">
        <f>班线包车!AL56+公交!AL73+出租!AL73+网约车!AL73</f>
        <v>31.9272170404878</v>
      </c>
      <c r="AA38" s="280">
        <f t="shared" si="9"/>
        <v>0.0419746365552329</v>
      </c>
      <c r="AB38" s="282">
        <f>班线包车!AN56+公交!AN73+出租!AN73+网约车!AN73</f>
        <v>32.4591712293939</v>
      </c>
      <c r="AC38" s="280">
        <f t="shared" si="10"/>
        <v>-0.0706566247144559</v>
      </c>
      <c r="AD38" s="282">
        <f>班线包车!AP56+公交!AP73+出租!AP73+网约车!AP73</f>
        <v>28.9640051682786</v>
      </c>
      <c r="AE38" s="280">
        <f t="shared" si="11"/>
        <v>0.0806274261699522</v>
      </c>
      <c r="AF38" s="282">
        <f>班线包车!AR56+公交!AR73+出租!AR73+网约车!AR73</f>
        <v>28.6516653312523</v>
      </c>
      <c r="AG38" s="280">
        <f t="shared" si="12"/>
        <v>0.0626912430538051</v>
      </c>
      <c r="AH38" s="282">
        <f t="shared" si="13"/>
        <v>390.855374608886</v>
      </c>
      <c r="AI38" s="280">
        <f t="shared" si="14"/>
        <v>0.0645090248600493</v>
      </c>
      <c r="AJ38" s="281"/>
      <c r="AK38" s="282">
        <f>班线包车!AW56+公交!AW73+出租!AW73+网约车!AW73</f>
        <v>30.1186503361474</v>
      </c>
      <c r="AL38" s="281"/>
      <c r="AM38" s="282">
        <f>班线包车!AY56+公交!AY73+出租!AY73+网约车!AY73</f>
        <v>30.8296757103907</v>
      </c>
      <c r="AN38" s="281"/>
      <c r="AO38" s="282">
        <f>班线包车!BA56+公交!BA73+出租!BA73+网约车!BA73</f>
        <v>25.4229767103204</v>
      </c>
      <c r="AP38" s="281"/>
      <c r="AQ38" s="282">
        <f>班线包车!BC56+公交!BC73+出租!BC73+网约车!BC73</f>
        <v>28.9993315477356</v>
      </c>
      <c r="AR38" s="281"/>
      <c r="AS38" s="282">
        <f>班线包车!BE56+公交!BE73+出租!BE73+网约车!BE73</f>
        <v>32.3690720152528</v>
      </c>
      <c r="AT38" s="281"/>
      <c r="AU38" s="282">
        <f>班线包车!BG56+公交!BG73+出租!BG73+网约车!BG73</f>
        <v>30.8276721014229</v>
      </c>
      <c r="AV38" s="281"/>
      <c r="AW38" s="282">
        <f>班线包车!BI56+公交!BI73+出租!BI73+网约车!BI73</f>
        <v>40.5761411257412</v>
      </c>
      <c r="AX38" s="281"/>
      <c r="AY38" s="282">
        <f>班线包车!BK56+公交!BK73+出租!BK73+网约车!BK73</f>
        <v>55.6550846784687</v>
      </c>
      <c r="AZ38" s="281"/>
      <c r="BA38" s="282">
        <f>班线包车!BM56+公交!BM73+出租!BM73+网约车!BM73</f>
        <v>30.6410692932403</v>
      </c>
      <c r="BB38" s="281"/>
      <c r="BC38" s="282">
        <f>班线包车!BO56+公交!BO73+出租!BO73+网约车!BO73</f>
        <v>34.926994792878</v>
      </c>
      <c r="BD38" s="281"/>
      <c r="BE38" s="282">
        <f>班线包车!BQ56+公交!BQ73+出租!BQ73+网约车!BQ73</f>
        <v>26.802952124707</v>
      </c>
      <c r="BF38" s="281"/>
      <c r="BG38" s="282">
        <f>班线包车!BS56+公交!BS73+出租!BS73+网约车!BS73</f>
        <v>26.961420373539</v>
      </c>
      <c r="BH38" s="281"/>
      <c r="BI38" s="282">
        <f>班线包车!BU56+公交!BU73+出租!BU73+网约车!BU73</f>
        <v>394.131040809844</v>
      </c>
      <c r="BJ38" s="281"/>
      <c r="BK38" s="281"/>
      <c r="BL38" s="281"/>
      <c r="BM38" s="281"/>
      <c r="BN38" s="281"/>
      <c r="BO38" s="282"/>
      <c r="BP38" s="282"/>
      <c r="BQ38" s="282"/>
      <c r="BR38" s="282"/>
      <c r="BS38" s="282"/>
      <c r="BT38" s="282"/>
      <c r="BU38" s="282"/>
      <c r="BV38" s="282"/>
      <c r="BW38" s="282"/>
      <c r="BX38" s="282"/>
      <c r="BY38" s="282"/>
      <c r="BZ38" s="282"/>
      <c r="CA38" s="282"/>
      <c r="CB38" s="282"/>
      <c r="CC38" s="282"/>
      <c r="CD38" s="671"/>
      <c r="CE38" s="282"/>
      <c r="CF38" s="671"/>
      <c r="CG38" s="282"/>
      <c r="CH38" s="671"/>
      <c r="CI38" s="282"/>
      <c r="CJ38" s="282"/>
      <c r="CK38" s="282"/>
      <c r="CL38" s="282"/>
    </row>
    <row r="39" s="256" customFormat="1" ht="31.2" customHeight="1" spans="1:90">
      <c r="A39" s="29"/>
      <c r="B39" s="277" t="s">
        <v>194</v>
      </c>
      <c r="C39" s="282">
        <f>班线包车!C57+公交!C74+出租!C74+网约车!C74</f>
        <v>442.492824315671</v>
      </c>
      <c r="D39" s="280">
        <f t="shared" si="0"/>
        <v>-0.183013026479247</v>
      </c>
      <c r="E39" s="280"/>
      <c r="F39" s="280"/>
      <c r="G39" s="280"/>
      <c r="H39" s="280"/>
      <c r="I39" s="670"/>
      <c r="J39" s="282">
        <f>班线包车!V57+公交!V74+出租!V74+网约车!V74</f>
        <v>541.615519778457</v>
      </c>
      <c r="K39" s="280">
        <f t="shared" si="1"/>
        <v>-0.0256211827812035</v>
      </c>
      <c r="L39" s="282">
        <f>班线包车!X57+公交!X74+出租!X74+网约车!X74</f>
        <v>469.419366070871</v>
      </c>
      <c r="M39" s="280">
        <f t="shared" si="2"/>
        <v>-0.245659083017714</v>
      </c>
      <c r="N39" s="282">
        <f>班线包车!Z57+公交!Z74+出租!Z74+网约车!Z74</f>
        <v>319.036440710209</v>
      </c>
      <c r="O39" s="280">
        <f t="shared" si="3"/>
        <v>0.126357920309516</v>
      </c>
      <c r="P39" s="282">
        <f>班线包车!AB57+公交!AB74+出租!AB74+网约车!AB74</f>
        <v>441.198198378136</v>
      </c>
      <c r="Q39" s="280">
        <f t="shared" si="4"/>
        <v>0.187009446351895</v>
      </c>
      <c r="R39" s="282">
        <f>班线包车!AD57+公交!AD74+出租!AD74+网约车!AD74</f>
        <v>539.817131890312</v>
      </c>
      <c r="S39" s="280">
        <f t="shared" si="5"/>
        <v>0.166983469422379</v>
      </c>
      <c r="T39" s="282">
        <f>班线包车!AF57+公交!AF74+出租!AF74+网约车!AF74</f>
        <v>440.510049937882</v>
      </c>
      <c r="U39" s="280">
        <f t="shared" si="6"/>
        <v>0.0210165188548284</v>
      </c>
      <c r="V39" s="282">
        <f>班线包车!AH57+公交!AH74+出租!AH74+网约车!AH74</f>
        <v>791.997352515403</v>
      </c>
      <c r="W39" s="280">
        <f t="shared" si="7"/>
        <v>0.194044236449678</v>
      </c>
      <c r="X39" s="282">
        <f>班线包车!AJ57+公交!AJ74+出租!AJ74+网约车!AJ74</f>
        <v>949.775547156839</v>
      </c>
      <c r="Y39" s="280">
        <f t="shared" si="8"/>
        <v>0.00881963496638249</v>
      </c>
      <c r="Z39" s="282">
        <f>班线包车!AL57+公交!AL74+出租!AL74+网约车!AL74</f>
        <v>429.390613380399</v>
      </c>
      <c r="AA39" s="280">
        <f t="shared" si="9"/>
        <v>0.0742196127888626</v>
      </c>
      <c r="AB39" s="282">
        <f>班线包车!AN57+公交!AN74+出租!AN74+网约车!AN74</f>
        <v>400.78413707299</v>
      </c>
      <c r="AC39" s="280">
        <f t="shared" si="10"/>
        <v>-0.226752821973458</v>
      </c>
      <c r="AD39" s="282">
        <f>班线包车!AP57+公交!AP74+出租!AP74+网约车!AP74</f>
        <v>331.553129394233</v>
      </c>
      <c r="AE39" s="280">
        <f t="shared" si="11"/>
        <v>0.134161175727949</v>
      </c>
      <c r="AF39" s="282">
        <f>班线包车!AR57+公交!AR74+出租!AR74+网约车!AR74</f>
        <v>321.112332265396</v>
      </c>
      <c r="AG39" s="280">
        <f t="shared" si="12"/>
        <v>0.0951336572400665</v>
      </c>
      <c r="AH39" s="282">
        <f t="shared" si="13"/>
        <v>5655.09748628573</v>
      </c>
      <c r="AI39" s="280">
        <f t="shared" si="14"/>
        <v>0.0203646338035917</v>
      </c>
      <c r="AJ39" s="281"/>
      <c r="AK39" s="282">
        <f>班线包车!AW57+公交!AW74+出租!AW74+网约车!AW74</f>
        <v>555.857239717515</v>
      </c>
      <c r="AL39" s="281"/>
      <c r="AM39" s="282">
        <f>班线包车!AY57+公交!AY74+出租!AY74+网约车!AY74</f>
        <v>622.290738183428</v>
      </c>
      <c r="AN39" s="281"/>
      <c r="AO39" s="282">
        <f>班线包车!BA57+公交!BA74+出租!BA74+网约车!BA74</f>
        <v>283.24605789831</v>
      </c>
      <c r="AP39" s="281"/>
      <c r="AQ39" s="282">
        <f>班线包车!BC57+公交!BC74+出租!BC74+网约车!BC74</f>
        <v>371.688868807318</v>
      </c>
      <c r="AR39" s="281"/>
      <c r="AS39" s="282">
        <f>班线包车!BE57+公交!BE74+出租!BE74+网约车!BE74</f>
        <v>462.574788790714</v>
      </c>
      <c r="AT39" s="281"/>
      <c r="AU39" s="282">
        <f>班线包车!BG57+公交!BG74+出租!BG74+网约车!BG74</f>
        <v>431.442627815619</v>
      </c>
      <c r="AV39" s="281"/>
      <c r="AW39" s="282">
        <f>班线包车!BI57+公交!BI74+出租!BI74+网约车!BI74</f>
        <v>663.289791398597</v>
      </c>
      <c r="AX39" s="281"/>
      <c r="AY39" s="282">
        <f>班线包车!BK57+公交!BK74+出租!BK74+网约车!BK74</f>
        <v>941.472106843449</v>
      </c>
      <c r="AZ39" s="281"/>
      <c r="BA39" s="282">
        <f>班线包车!BM57+公交!BM74+出租!BM74+网约车!BM74</f>
        <v>399.723304497881</v>
      </c>
      <c r="BB39" s="281"/>
      <c r="BC39" s="282">
        <f>班线包车!BO57+公交!BO74+出租!BO74+网约车!BO74</f>
        <v>518.313093745598</v>
      </c>
      <c r="BD39" s="281"/>
      <c r="BE39" s="282">
        <f>班线包车!BQ57+公交!BQ74+出租!BQ74+网约车!BQ74</f>
        <v>292.333344228107</v>
      </c>
      <c r="BF39" s="281"/>
      <c r="BG39" s="282">
        <f>班线包车!BS57+公交!BS74+出租!BS74+网约车!BS74</f>
        <v>293.217480937127</v>
      </c>
      <c r="BH39" s="281"/>
      <c r="BI39" s="282">
        <f>班线包车!BU57+公交!BU74+出租!BU74+网约车!BU74</f>
        <v>5835.44944286366</v>
      </c>
      <c r="BJ39" s="281"/>
      <c r="BK39" s="281"/>
      <c r="BL39" s="281"/>
      <c r="BM39" s="281"/>
      <c r="BN39" s="281"/>
      <c r="BO39" s="282"/>
      <c r="BP39" s="282"/>
      <c r="BQ39" s="282"/>
      <c r="BR39" s="282"/>
      <c r="BS39" s="282"/>
      <c r="BT39" s="282"/>
      <c r="BU39" s="282"/>
      <c r="BV39" s="282"/>
      <c r="BW39" s="282"/>
      <c r="BX39" s="282"/>
      <c r="BY39" s="282"/>
      <c r="BZ39" s="282"/>
      <c r="CA39" s="282"/>
      <c r="CB39" s="282"/>
      <c r="CC39" s="282"/>
      <c r="CD39" s="671"/>
      <c r="CE39" s="282"/>
      <c r="CF39" s="671"/>
      <c r="CG39" s="282"/>
      <c r="CH39" s="671"/>
      <c r="CI39" s="282"/>
      <c r="CJ39" s="282"/>
      <c r="CK39" s="282"/>
      <c r="CL39" s="282"/>
    </row>
    <row r="40" s="256" customFormat="1" spans="1:90">
      <c r="A40" s="282"/>
      <c r="B40" s="670"/>
      <c r="C40" s="672"/>
      <c r="D40" s="280"/>
      <c r="E40" s="280"/>
      <c r="F40" s="280"/>
      <c r="G40" s="280"/>
      <c r="H40" s="280"/>
      <c r="I40" s="670"/>
      <c r="J40" s="672"/>
      <c r="K40" s="280"/>
      <c r="L40" s="672"/>
      <c r="M40" s="280"/>
      <c r="N40" s="672"/>
      <c r="O40" s="280"/>
      <c r="P40" s="672"/>
      <c r="Q40" s="280"/>
      <c r="R40" s="672"/>
      <c r="S40" s="280"/>
      <c r="T40" s="672"/>
      <c r="U40" s="280"/>
      <c r="V40" s="672"/>
      <c r="W40" s="280"/>
      <c r="X40" s="672"/>
      <c r="Y40" s="280"/>
      <c r="Z40" s="672"/>
      <c r="AA40" s="280"/>
      <c r="AB40" s="672"/>
      <c r="AC40" s="280"/>
      <c r="AD40" s="672"/>
      <c r="AE40" s="280"/>
      <c r="AF40" s="672"/>
      <c r="AG40" s="280"/>
      <c r="AH40" s="672"/>
      <c r="AI40" s="280"/>
      <c r="AJ40" s="281"/>
      <c r="AK40" s="281"/>
      <c r="AL40" s="281"/>
      <c r="AM40" s="281"/>
      <c r="AN40" s="281"/>
      <c r="AO40" s="281"/>
      <c r="AP40" s="281"/>
      <c r="AQ40" s="281"/>
      <c r="AR40" s="281"/>
      <c r="AS40" s="281"/>
      <c r="AT40" s="281"/>
      <c r="AU40" s="281"/>
      <c r="AV40" s="281"/>
      <c r="AW40" s="281"/>
      <c r="AX40" s="281"/>
      <c r="AY40" s="281"/>
      <c r="AZ40" s="281"/>
      <c r="BA40" s="281"/>
      <c r="BB40" s="281"/>
      <c r="BC40" s="281"/>
      <c r="BD40" s="281"/>
      <c r="BE40" s="281"/>
      <c r="BF40" s="281"/>
      <c r="BG40" s="281"/>
      <c r="BH40" s="281"/>
      <c r="BI40" s="281"/>
      <c r="BJ40" s="281"/>
      <c r="BK40" s="281"/>
      <c r="BL40" s="281"/>
      <c r="BM40" s="281"/>
      <c r="BN40" s="281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671"/>
      <c r="CE40" s="282"/>
      <c r="CF40" s="671"/>
      <c r="CG40" s="282"/>
      <c r="CH40" s="671"/>
      <c r="CI40" s="282"/>
      <c r="CJ40" s="282"/>
      <c r="CK40" s="282"/>
      <c r="CL40" s="282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A59"/>
  <sheetViews>
    <sheetView showGridLines="0" workbookViewId="0">
      <pane xSplit="2" ySplit="3" topLeftCell="C4" activePane="bottomRight" state="frozen"/>
      <selection/>
      <selection pane="topRight"/>
      <selection pane="bottomLeft"/>
      <selection pane="bottomRight" activeCell="A28" sqref="A28:A31"/>
    </sheetView>
  </sheetViews>
  <sheetFormatPr defaultColWidth="14.3333333333333" defaultRowHeight="14.4"/>
  <cols>
    <col min="1" max="1" width="8.39814814814815" style="16" customWidth="1"/>
    <col min="2" max="2" width="19.8333333333333" style="16" customWidth="1"/>
    <col min="3" max="3" width="11" style="16" customWidth="1"/>
    <col min="4" max="4" width="13.7777777777778" style="16" customWidth="1"/>
    <col min="5" max="5" width="11" style="16" customWidth="1"/>
    <col min="6" max="6" width="13.7777777777778" style="16" hidden="1" customWidth="1"/>
    <col min="7" max="7" width="11" style="16" customWidth="1"/>
    <col min="8" max="8" width="13.7777777777778" style="16" hidden="1" customWidth="1"/>
    <col min="9" max="9" width="11" style="16" customWidth="1"/>
    <col min="10" max="10" width="13.7777777777778" style="16" hidden="1" customWidth="1"/>
    <col min="11" max="11" width="11" style="16" customWidth="1"/>
    <col min="12" max="12" width="11.8888888888889" style="16" hidden="1" customWidth="1"/>
    <col min="13" max="13" width="11" style="16" customWidth="1"/>
    <col min="14" max="14" width="13.7777777777778" style="16" customWidth="1"/>
    <col min="15" max="15" width="11" style="16" customWidth="1"/>
    <col min="16" max="16" width="13.7777777777778" style="16" customWidth="1"/>
    <col min="19" max="19" width="11.8888888888889" style="16" customWidth="1"/>
    <col min="20" max="20" width="13.7777777777778" style="16" customWidth="1"/>
    <col min="22" max="22" width="11" style="16" customWidth="1"/>
    <col min="23" max="23" width="13.7777777777778" style="16" customWidth="1"/>
    <col min="24" max="24" width="11" style="16" customWidth="1"/>
    <col min="25" max="25" width="13.7777777777778" style="16" customWidth="1"/>
    <col min="26" max="26" width="11" style="16" customWidth="1"/>
    <col min="27" max="27" width="13.7777777777778" style="16" customWidth="1"/>
    <col min="28" max="28" width="11" style="16" customWidth="1"/>
    <col min="29" max="29" width="13.7777777777778" style="16" customWidth="1"/>
    <col min="30" max="30" width="11" style="16" customWidth="1"/>
    <col min="31" max="31" width="13.7777777777778" style="16" customWidth="1"/>
    <col min="32" max="32" width="11" style="16" customWidth="1"/>
    <col min="33" max="33" width="13.7777777777778" style="16" customWidth="1"/>
    <col min="34" max="34" width="11" style="16" customWidth="1"/>
    <col min="35" max="35" width="13.7777777777778" style="16" customWidth="1"/>
    <col min="36" max="36" width="11" style="16" customWidth="1"/>
    <col min="37" max="37" width="13.7777777777778" style="16" customWidth="1"/>
    <col min="38" max="38" width="11" style="16" customWidth="1"/>
    <col min="39" max="39" width="12.8888888888889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88888888889" style="16" customWidth="1"/>
    <col min="47" max="47" width="9.44444444444444" style="16" customWidth="1"/>
    <col min="48" max="48" width="12.5555555555556" style="16" customWidth="1"/>
    <col min="49" max="49" width="11" style="16" customWidth="1"/>
    <col min="50" max="50" width="13.7777777777778" style="16" customWidth="1"/>
    <col min="51" max="51" width="11" style="16" customWidth="1"/>
    <col min="52" max="52" width="13.7777777777778" style="16" customWidth="1"/>
    <col min="53" max="53" width="11" style="16" customWidth="1"/>
    <col min="54" max="54" width="13.7777777777778" style="16" customWidth="1"/>
    <col min="55" max="55" width="11" style="16" customWidth="1"/>
    <col min="56" max="56" width="13.7777777777778" style="16" customWidth="1"/>
    <col min="57" max="57" width="11" style="16" customWidth="1"/>
    <col min="58" max="58" width="13.7777777777778" style="16" customWidth="1"/>
    <col min="59" max="59" width="11" style="16" customWidth="1"/>
    <col min="60" max="60" width="13.7777777777778" style="16" customWidth="1"/>
    <col min="61" max="61" width="11" style="16" customWidth="1"/>
    <col min="62" max="62" width="13.7777777777778" style="16" customWidth="1"/>
    <col min="63" max="63" width="11" style="16" customWidth="1"/>
    <col min="64" max="64" width="13.7777777777778" style="16" customWidth="1"/>
    <col min="65" max="65" width="11" style="16" customWidth="1"/>
    <col min="66" max="66" width="13.7777777777778" style="16" customWidth="1"/>
    <col min="67" max="67" width="11" style="16" customWidth="1"/>
    <col min="68" max="68" width="14.7777777777778" style="16" customWidth="1"/>
    <col min="69" max="69" width="11" style="16" customWidth="1"/>
    <col min="70" max="70" width="14.7777777777778" style="16" customWidth="1"/>
    <col min="71" max="71" width="11" style="16" customWidth="1"/>
    <col min="72" max="72" width="14.7777777777778" style="16" customWidth="1"/>
    <col min="73" max="73" width="13" style="16" customWidth="1"/>
    <col min="74" max="74" width="9.44444444444444" style="16" customWidth="1"/>
    <col min="75" max="75" width="14.3333333333333" style="16" customWidth="1"/>
    <col min="76" max="76" width="11" style="16" customWidth="1"/>
    <col min="77" max="77" width="13.7777777777778" style="16" customWidth="1"/>
    <col min="78" max="78" width="11" style="16" customWidth="1"/>
    <col min="79" max="79" width="13.7777777777778" style="16" customWidth="1"/>
    <col min="80" max="80" width="11" style="16" customWidth="1"/>
    <col min="81" max="81" width="13.7777777777778" style="16" customWidth="1"/>
    <col min="82" max="82" width="11" style="16" customWidth="1"/>
    <col min="83" max="83" width="13.7777777777778" style="16" customWidth="1"/>
    <col min="84" max="84" width="11" style="16" customWidth="1"/>
    <col min="85" max="85" width="13.7777777777778" style="16" customWidth="1"/>
    <col min="86" max="86" width="11" style="16" customWidth="1"/>
    <col min="87" max="87" width="13.7777777777778" style="16" customWidth="1"/>
    <col min="88" max="88" width="11" style="16" customWidth="1"/>
    <col min="89" max="89" width="13.7777777777778" style="16" customWidth="1"/>
    <col min="90" max="90" width="11" style="16" customWidth="1"/>
    <col min="91" max="91" width="13.7777777777778" style="16" customWidth="1"/>
    <col min="92" max="92" width="11" style="16" customWidth="1"/>
    <col min="93" max="93" width="13.7777777777778" style="16" customWidth="1"/>
    <col min="94" max="94" width="11" style="16" customWidth="1"/>
    <col min="95" max="95" width="14.7777777777778" style="16" customWidth="1"/>
    <col min="96" max="96" width="11" style="16" customWidth="1"/>
    <col min="97" max="97" width="14.7777777777778" style="16" customWidth="1"/>
    <col min="98" max="98" width="11" style="16" customWidth="1"/>
    <col min="99" max="99" width="14.7777777777778" style="16" customWidth="1"/>
    <col min="100" max="100" width="15.2222222222222" style="16" customWidth="1"/>
    <col min="101" max="101" width="9.66666666666667" style="16" customWidth="1"/>
    <col min="102" max="102" width="9.44444444444444" style="16" customWidth="1"/>
    <col min="103" max="103" width="14.3333333333333" style="16" customWidth="1"/>
    <col min="104" max="116" width="11" style="16" customWidth="1"/>
    <col min="117" max="117" width="9.44444444444444" style="16" customWidth="1"/>
    <col min="118" max="118" width="14.3333333333333" style="16" customWidth="1"/>
    <col min="119" max="119" width="11" style="16" customWidth="1"/>
    <col min="120" max="120" width="13.7777777777778" style="16" customWidth="1"/>
    <col min="121" max="121" width="11" style="16" customWidth="1"/>
    <col min="122" max="122" width="13.7777777777778" style="16" customWidth="1"/>
    <col min="123" max="123" width="11" style="16" customWidth="1"/>
    <col min="124" max="124" width="13.7777777777778" style="16" customWidth="1"/>
    <col min="125" max="125" width="11.8888888888889" style="16" customWidth="1"/>
    <col min="126" max="126" width="11" style="16" customWidth="1"/>
    <col min="127" max="127" width="13.7777777777778" style="16" customWidth="1"/>
    <col min="128" max="128" width="11" style="16" customWidth="1"/>
    <col min="129" max="129" width="13.7777777777778" style="16" customWidth="1"/>
    <col min="130" max="130" width="11" style="16" customWidth="1"/>
    <col min="131" max="131" width="13.7777777777778" style="16" customWidth="1"/>
    <col min="132" max="132" width="11" style="16" customWidth="1"/>
    <col min="133" max="133" width="13.7777777777778" style="16" customWidth="1"/>
    <col min="134" max="134" width="11" style="16" customWidth="1"/>
    <col min="135" max="135" width="13.7777777777778" style="16" customWidth="1"/>
    <col min="136" max="136" width="11" style="16" customWidth="1"/>
    <col min="137" max="137" width="13.7777777777778" style="16" customWidth="1"/>
    <col min="138" max="138" width="11" style="16" customWidth="1"/>
    <col min="139" max="139" width="14.7777777777778" style="16" customWidth="1"/>
    <col min="140" max="140" width="11" style="16" customWidth="1"/>
    <col min="141" max="141" width="14.7777777777778" style="16" customWidth="1"/>
    <col min="142" max="142" width="11" style="16" customWidth="1"/>
    <col min="143" max="143" width="14.7777777777778" style="16" customWidth="1"/>
    <col min="144" max="144" width="15.2222222222222" style="16" customWidth="1"/>
    <col min="145" max="145" width="9.44444444444444" style="16" customWidth="1"/>
    <col min="146" max="146" width="11" style="16" customWidth="1"/>
    <col min="147" max="147" width="13.7777777777778" style="16" customWidth="1"/>
    <col min="148" max="148" width="11" style="16" customWidth="1"/>
    <col min="149" max="149" width="13.7777777777778" style="16" customWidth="1"/>
    <col min="150" max="150" width="11" style="16" customWidth="1"/>
    <col min="151" max="151" width="13.7777777777778" style="16" customWidth="1"/>
    <col min="152" max="152" width="11" style="16" customWidth="1"/>
    <col min="153" max="153" width="13.7777777777778" style="16" customWidth="1"/>
    <col min="154" max="154" width="11" style="16" customWidth="1"/>
    <col min="155" max="155" width="13.7777777777778" style="16" customWidth="1"/>
    <col min="156" max="156" width="11" style="16" customWidth="1"/>
    <col min="157" max="157" width="13.7777777777778" style="16" customWidth="1"/>
    <col min="158" max="158" width="11" style="16" customWidth="1"/>
    <col min="159" max="159" width="13.7777777777778" style="16" customWidth="1"/>
    <col min="160" max="160" width="11" style="16" customWidth="1"/>
    <col min="161" max="161" width="13.7777777777778" style="16" customWidth="1"/>
    <col min="162" max="162" width="11" style="16" customWidth="1"/>
    <col min="163" max="163" width="13.7777777777778" style="16" customWidth="1"/>
    <col min="164" max="164" width="11" style="16" customWidth="1"/>
    <col min="165" max="165" width="14.7777777777778" style="16" customWidth="1"/>
    <col min="166" max="166" width="11" style="16" customWidth="1"/>
    <col min="167" max="167" width="14.7777777777778" style="16" customWidth="1"/>
    <col min="168" max="168" width="11" style="16" customWidth="1"/>
    <col min="169" max="169" width="14.7777777777778" style="16" customWidth="1"/>
    <col min="170" max="170" width="15.2222222222222" style="16" customWidth="1"/>
    <col min="171" max="171" width="9.44444444444444" style="16" customWidth="1"/>
    <col min="172" max="177" width="11" style="16" customWidth="1"/>
    <col min="178" max="178" width="13" style="16" customWidth="1"/>
    <col min="179" max="179" width="12.8888888888889" style="16" customWidth="1"/>
    <col min="180" max="181" width="13" style="16" customWidth="1"/>
    <col min="182" max="182" width="16.7777777777778" style="16" customWidth="1"/>
    <col min="183" max="183" width="13" style="16" customWidth="1"/>
    <col min="184" max="184" width="16.7777777777778" style="16" customWidth="1"/>
    <col min="185" max="185" width="13" style="16" customWidth="1"/>
    <col min="186" max="186" width="16.7777777777778" style="16" customWidth="1"/>
    <col min="187" max="187" width="13" style="16" customWidth="1"/>
    <col min="188" max="188" width="9.44444444444444" style="16" customWidth="1"/>
    <col min="189" max="189" width="15.5555555555556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7777777778" style="16" customWidth="1"/>
    <col min="219" max="219" width="14.3333333333333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33333333333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7" width="11" style="16" customWidth="1"/>
    <col min="288" max="288" width="20.2222222222222" style="16" customWidth="1"/>
    <col min="289" max="289" width="14.3333333333333" style="16" customWidth="1"/>
  </cols>
  <sheetData>
    <row r="1" ht="31.5" customHeight="1" spans="1:287">
      <c r="A1" s="287" t="s">
        <v>196</v>
      </c>
      <c r="B1" s="21"/>
      <c r="C1" s="288"/>
      <c r="D1" s="289"/>
      <c r="E1" s="288"/>
      <c r="F1" s="289"/>
      <c r="G1" s="288"/>
      <c r="H1" s="289"/>
      <c r="I1" s="288"/>
      <c r="J1" s="289"/>
      <c r="K1" s="288"/>
      <c r="L1" s="289"/>
      <c r="M1" s="288"/>
      <c r="N1" s="289"/>
      <c r="O1" s="288"/>
      <c r="P1" s="289"/>
      <c r="Q1" s="127"/>
      <c r="R1" s="127"/>
      <c r="S1" s="288"/>
      <c r="T1" s="289"/>
      <c r="U1" s="289"/>
      <c r="V1" s="288"/>
      <c r="W1" s="289"/>
      <c r="X1" s="288"/>
      <c r="Y1" s="289"/>
      <c r="Z1" s="288"/>
      <c r="AA1" s="289"/>
      <c r="AB1" s="288"/>
      <c r="AC1" s="289"/>
      <c r="AD1" s="288"/>
      <c r="AE1" s="289"/>
      <c r="AF1" s="288"/>
      <c r="AG1" s="289"/>
      <c r="AH1" s="288"/>
      <c r="AI1" s="289"/>
      <c r="AJ1" s="288"/>
      <c r="AK1" s="289"/>
      <c r="AL1" s="288"/>
      <c r="AM1" s="289"/>
      <c r="AN1" s="288"/>
      <c r="AO1" s="289"/>
      <c r="AP1" s="288"/>
      <c r="AQ1" s="289"/>
      <c r="AR1" s="288"/>
      <c r="AS1" s="289"/>
      <c r="AT1" s="290"/>
      <c r="AU1" s="291"/>
      <c r="AV1" s="292"/>
      <c r="AW1" s="293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4"/>
      <c r="BL1" s="294"/>
      <c r="BM1" s="294"/>
      <c r="BN1" s="294"/>
      <c r="BO1" s="294"/>
      <c r="BP1" s="294"/>
      <c r="BQ1" s="294"/>
      <c r="BR1" s="294"/>
      <c r="BS1" s="294"/>
      <c r="BT1" s="294"/>
      <c r="BU1" s="292"/>
      <c r="BV1" s="294"/>
      <c r="BW1" s="293"/>
      <c r="BX1" s="293"/>
      <c r="BY1" s="294"/>
      <c r="BZ1" s="293"/>
      <c r="CA1" s="294"/>
      <c r="CB1" s="295"/>
      <c r="CC1" s="294"/>
      <c r="CD1" s="295"/>
      <c r="CE1" s="294"/>
      <c r="CF1" s="295"/>
      <c r="CG1" s="294"/>
      <c r="CH1" s="295"/>
      <c r="CI1" s="294"/>
      <c r="CJ1" s="293"/>
      <c r="CK1" s="294"/>
      <c r="CL1" s="293"/>
      <c r="CM1" s="294"/>
      <c r="CN1" s="296"/>
      <c r="CO1" s="294"/>
      <c r="CP1" s="296"/>
      <c r="CQ1" s="294"/>
      <c r="CR1" s="297"/>
      <c r="CS1" s="294"/>
      <c r="CT1" s="293"/>
      <c r="CU1" s="294"/>
      <c r="CV1" s="293"/>
      <c r="CW1" s="294"/>
      <c r="CX1" s="294"/>
      <c r="CY1" s="293"/>
      <c r="CZ1" s="293"/>
      <c r="DA1" s="293"/>
      <c r="DB1" s="293"/>
      <c r="DC1" s="293"/>
      <c r="DD1" s="293"/>
      <c r="DE1" s="293"/>
      <c r="DF1" s="293"/>
      <c r="DG1" s="293"/>
      <c r="DH1" s="293"/>
      <c r="DI1" s="293"/>
      <c r="DJ1" s="293"/>
      <c r="GC1" s="127"/>
      <c r="GE1" s="290"/>
    </row>
    <row r="2" ht="24" customHeight="1" spans="1:287">
      <c r="A2" s="298" t="s">
        <v>1</v>
      </c>
      <c r="B2" s="299" t="s">
        <v>2</v>
      </c>
      <c r="C2" s="159" t="s">
        <v>151</v>
      </c>
      <c r="D2" s="300" t="s">
        <v>3</v>
      </c>
      <c r="E2" s="159" t="s">
        <v>197</v>
      </c>
      <c r="F2" s="300" t="s">
        <v>4</v>
      </c>
      <c r="G2" s="159" t="s">
        <v>198</v>
      </c>
      <c r="H2" s="300" t="s">
        <v>5</v>
      </c>
      <c r="I2" s="159" t="s">
        <v>199</v>
      </c>
      <c r="J2" s="300" t="s">
        <v>6</v>
      </c>
      <c r="K2" s="159" t="s">
        <v>200</v>
      </c>
      <c r="L2" s="300" t="s">
        <v>7</v>
      </c>
      <c r="M2" s="159" t="s">
        <v>201</v>
      </c>
      <c r="N2" s="300" t="s">
        <v>8</v>
      </c>
      <c r="O2" s="159" t="s">
        <v>202</v>
      </c>
      <c r="P2" s="300" t="s">
        <v>9</v>
      </c>
      <c r="Q2" s="159" t="s">
        <v>203</v>
      </c>
      <c r="R2" s="300" t="s">
        <v>10</v>
      </c>
      <c r="S2" s="159" t="s">
        <v>204</v>
      </c>
      <c r="T2" s="300" t="s">
        <v>205</v>
      </c>
      <c r="U2" s="300"/>
      <c r="V2" s="159" t="s">
        <v>13</v>
      </c>
      <c r="W2" s="300" t="s">
        <v>3</v>
      </c>
      <c r="X2" s="159" t="s">
        <v>14</v>
      </c>
      <c r="Y2" s="300" t="s">
        <v>4</v>
      </c>
      <c r="Z2" s="159" t="s">
        <v>15</v>
      </c>
      <c r="AA2" s="300" t="s">
        <v>5</v>
      </c>
      <c r="AB2" s="159" t="s">
        <v>16</v>
      </c>
      <c r="AC2" s="300" t="s">
        <v>6</v>
      </c>
      <c r="AD2" s="159" t="s">
        <v>17</v>
      </c>
      <c r="AE2" s="300" t="s">
        <v>7</v>
      </c>
      <c r="AF2" s="301" t="s">
        <v>18</v>
      </c>
      <c r="AG2" s="301" t="s">
        <v>8</v>
      </c>
      <c r="AH2" s="302">
        <v>45839</v>
      </c>
      <c r="AI2" s="301" t="s">
        <v>9</v>
      </c>
      <c r="AJ2" s="302">
        <v>45870</v>
      </c>
      <c r="AK2" s="301" t="s">
        <v>10</v>
      </c>
      <c r="AL2" s="302">
        <v>45901</v>
      </c>
      <c r="AM2" s="301" t="s">
        <v>22</v>
      </c>
      <c r="AN2" s="302">
        <v>45931</v>
      </c>
      <c r="AO2" s="301" t="s">
        <v>24</v>
      </c>
      <c r="AP2" s="302">
        <v>45962</v>
      </c>
      <c r="AQ2" s="301" t="s">
        <v>26</v>
      </c>
      <c r="AR2" s="302">
        <v>45992</v>
      </c>
      <c r="AS2" s="301" t="s">
        <v>28</v>
      </c>
      <c r="AT2" s="301" t="s">
        <v>51</v>
      </c>
      <c r="AU2" s="301" t="s">
        <v>44</v>
      </c>
      <c r="AV2" s="303"/>
      <c r="AW2" s="143" t="s">
        <v>31</v>
      </c>
      <c r="AX2" s="304" t="s">
        <v>3</v>
      </c>
      <c r="AY2" s="143" t="s">
        <v>32</v>
      </c>
      <c r="AZ2" s="304" t="s">
        <v>4</v>
      </c>
      <c r="BA2" s="143" t="s">
        <v>33</v>
      </c>
      <c r="BB2" s="304" t="s">
        <v>5</v>
      </c>
      <c r="BC2" s="143" t="s">
        <v>34</v>
      </c>
      <c r="BD2" s="304" t="s">
        <v>6</v>
      </c>
      <c r="BE2" s="143" t="s">
        <v>35</v>
      </c>
      <c r="BF2" s="304" t="s">
        <v>7</v>
      </c>
      <c r="BG2" s="143" t="s">
        <v>36</v>
      </c>
      <c r="BH2" s="304" t="s">
        <v>8</v>
      </c>
      <c r="BI2" s="143" t="s">
        <v>37</v>
      </c>
      <c r="BJ2" s="304" t="s">
        <v>9</v>
      </c>
      <c r="BK2" s="159" t="s">
        <v>38</v>
      </c>
      <c r="BL2" s="300" t="s">
        <v>10</v>
      </c>
      <c r="BM2" s="159" t="s">
        <v>39</v>
      </c>
      <c r="BN2" s="300" t="s">
        <v>22</v>
      </c>
      <c r="BO2" s="159" t="s">
        <v>40</v>
      </c>
      <c r="BP2" s="300" t="s">
        <v>24</v>
      </c>
      <c r="BQ2" s="159" t="s">
        <v>41</v>
      </c>
      <c r="BR2" s="300" t="s">
        <v>26</v>
      </c>
      <c r="BS2" s="159" t="s">
        <v>42</v>
      </c>
      <c r="BT2" s="300" t="s">
        <v>28</v>
      </c>
      <c r="BU2" s="301" t="s">
        <v>51</v>
      </c>
      <c r="BV2" s="301" t="s">
        <v>44</v>
      </c>
      <c r="BW2" s="305"/>
      <c r="BX2" s="159" t="s">
        <v>45</v>
      </c>
      <c r="BY2" s="300" t="s">
        <v>3</v>
      </c>
      <c r="BZ2" s="159" t="s">
        <v>46</v>
      </c>
      <c r="CA2" s="300" t="s">
        <v>4</v>
      </c>
      <c r="CB2" s="159" t="s">
        <v>47</v>
      </c>
      <c r="CC2" s="300" t="s">
        <v>5</v>
      </c>
      <c r="CD2" s="306" t="s">
        <v>48</v>
      </c>
      <c r="CE2" s="300" t="s">
        <v>6</v>
      </c>
      <c r="CF2" s="159" t="s">
        <v>49</v>
      </c>
      <c r="CG2" s="300" t="s">
        <v>7</v>
      </c>
      <c r="CH2" s="159" t="s">
        <v>50</v>
      </c>
      <c r="CI2" s="300" t="s">
        <v>8</v>
      </c>
      <c r="CJ2" s="159" t="s">
        <v>152</v>
      </c>
      <c r="CK2" s="300" t="s">
        <v>9</v>
      </c>
      <c r="CL2" s="159" t="s">
        <v>153</v>
      </c>
      <c r="CM2" s="300" t="s">
        <v>10</v>
      </c>
      <c r="CN2" s="159" t="s">
        <v>154</v>
      </c>
      <c r="CO2" s="300" t="s">
        <v>22</v>
      </c>
      <c r="CP2" s="186">
        <v>45200</v>
      </c>
      <c r="CQ2" s="300" t="s">
        <v>24</v>
      </c>
      <c r="CR2" s="186">
        <v>45231</v>
      </c>
      <c r="CS2" s="300" t="s">
        <v>26</v>
      </c>
      <c r="CT2" s="186">
        <v>45261</v>
      </c>
      <c r="CU2" s="300" t="s">
        <v>28</v>
      </c>
      <c r="CV2" s="159" t="s">
        <v>51</v>
      </c>
      <c r="CW2" s="300" t="s">
        <v>44</v>
      </c>
      <c r="CX2" s="307"/>
      <c r="CY2" s="307"/>
      <c r="CZ2" s="308" t="s">
        <v>52</v>
      </c>
      <c r="DA2" s="159" t="s">
        <v>53</v>
      </c>
      <c r="DB2" s="159" t="s">
        <v>54</v>
      </c>
      <c r="DC2" s="159" t="s">
        <v>55</v>
      </c>
      <c r="DD2" s="159" t="s">
        <v>56</v>
      </c>
      <c r="DE2" s="159" t="s">
        <v>57</v>
      </c>
      <c r="DF2" s="159" t="s">
        <v>58</v>
      </c>
      <c r="DG2" s="159" t="s">
        <v>59</v>
      </c>
      <c r="DH2" s="159" t="s">
        <v>60</v>
      </c>
      <c r="DI2" s="159" t="s">
        <v>61</v>
      </c>
      <c r="DJ2" s="159" t="s">
        <v>62</v>
      </c>
      <c r="DK2" s="159" t="s">
        <v>63</v>
      </c>
      <c r="DL2" s="186" t="s">
        <v>51</v>
      </c>
      <c r="DM2" s="309" t="s">
        <v>44</v>
      </c>
      <c r="DN2" s="310"/>
      <c r="DO2" s="311" t="s">
        <v>64</v>
      </c>
      <c r="DP2" s="312" t="s">
        <v>3</v>
      </c>
      <c r="DQ2" s="313" t="s">
        <v>65</v>
      </c>
      <c r="DR2" s="312" t="s">
        <v>4</v>
      </c>
      <c r="DS2" s="313" t="s">
        <v>66</v>
      </c>
      <c r="DT2" s="312" t="s">
        <v>5</v>
      </c>
      <c r="DU2" s="149"/>
      <c r="DV2" s="313" t="s">
        <v>67</v>
      </c>
      <c r="DW2" s="312" t="s">
        <v>6</v>
      </c>
      <c r="DX2" s="145">
        <v>44317</v>
      </c>
      <c r="DY2" s="312" t="s">
        <v>7</v>
      </c>
      <c r="DZ2" s="145">
        <v>44348</v>
      </c>
      <c r="EA2" s="312" t="s">
        <v>8</v>
      </c>
      <c r="EB2" s="145">
        <v>44378</v>
      </c>
      <c r="EC2" s="312" t="s">
        <v>9</v>
      </c>
      <c r="ED2" s="145">
        <v>44409</v>
      </c>
      <c r="EE2" s="312" t="s">
        <v>10</v>
      </c>
      <c r="EF2" s="145">
        <v>44440</v>
      </c>
      <c r="EG2" s="312" t="s">
        <v>22</v>
      </c>
      <c r="EH2" s="145">
        <v>44470</v>
      </c>
      <c r="EI2" s="312" t="s">
        <v>24</v>
      </c>
      <c r="EJ2" s="145">
        <v>44501</v>
      </c>
      <c r="EK2" s="312" t="s">
        <v>26</v>
      </c>
      <c r="EL2" s="145">
        <v>44531</v>
      </c>
      <c r="EM2" s="312" t="s">
        <v>28</v>
      </c>
      <c r="EN2" s="145" t="s">
        <v>51</v>
      </c>
      <c r="EO2" s="304" t="s">
        <v>44</v>
      </c>
      <c r="EP2" s="145">
        <v>43831</v>
      </c>
      <c r="EQ2" s="312" t="s">
        <v>3</v>
      </c>
      <c r="ER2" s="145" t="s">
        <v>156</v>
      </c>
      <c r="ES2" s="312" t="s">
        <v>4</v>
      </c>
      <c r="ET2" s="145" t="s">
        <v>157</v>
      </c>
      <c r="EU2" s="312" t="s">
        <v>5</v>
      </c>
      <c r="EV2" s="145" t="s">
        <v>158</v>
      </c>
      <c r="EW2" s="312" t="s">
        <v>6</v>
      </c>
      <c r="EX2" s="145" t="s">
        <v>159</v>
      </c>
      <c r="EY2" s="312" t="s">
        <v>7</v>
      </c>
      <c r="EZ2" s="145" t="s">
        <v>160</v>
      </c>
      <c r="FA2" s="312" t="s">
        <v>8</v>
      </c>
      <c r="FB2" s="145" t="s">
        <v>161</v>
      </c>
      <c r="FC2" s="312" t="s">
        <v>9</v>
      </c>
      <c r="FD2" s="145" t="s">
        <v>162</v>
      </c>
      <c r="FE2" s="312" t="s">
        <v>10</v>
      </c>
      <c r="FF2" s="145" t="s">
        <v>163</v>
      </c>
      <c r="FG2" s="312" t="s">
        <v>22</v>
      </c>
      <c r="FH2" s="312" t="s">
        <v>164</v>
      </c>
      <c r="FI2" s="312" t="s">
        <v>165</v>
      </c>
      <c r="FJ2" s="312" t="s">
        <v>166</v>
      </c>
      <c r="FK2" s="312" t="s">
        <v>167</v>
      </c>
      <c r="FL2" s="312" t="s">
        <v>168</v>
      </c>
      <c r="FM2" s="312" t="s">
        <v>169</v>
      </c>
      <c r="FN2" s="314" t="s">
        <v>51</v>
      </c>
      <c r="FO2" s="312" t="s">
        <v>44</v>
      </c>
      <c r="FP2" s="315">
        <v>43466</v>
      </c>
      <c r="FQ2" s="315">
        <v>43498</v>
      </c>
      <c r="FR2" s="145">
        <v>43527</v>
      </c>
      <c r="FS2" s="145">
        <v>43559</v>
      </c>
      <c r="FT2" s="145">
        <v>43589</v>
      </c>
      <c r="FU2" s="145">
        <v>43620</v>
      </c>
      <c r="FV2" s="145">
        <v>43650</v>
      </c>
      <c r="FW2" s="145">
        <v>43681</v>
      </c>
      <c r="FX2" s="145">
        <v>43712</v>
      </c>
      <c r="FY2" s="145">
        <v>43742</v>
      </c>
      <c r="FZ2" s="316" t="s">
        <v>170</v>
      </c>
      <c r="GA2" s="145">
        <v>43773</v>
      </c>
      <c r="GB2" s="316" t="s">
        <v>171</v>
      </c>
      <c r="GC2" s="145">
        <v>43803</v>
      </c>
      <c r="GD2" s="316" t="s">
        <v>172</v>
      </c>
      <c r="GE2" s="157" t="s">
        <v>51</v>
      </c>
      <c r="GF2" s="157" t="s">
        <v>44</v>
      </c>
      <c r="GG2" s="317" t="s">
        <v>173</v>
      </c>
      <c r="GH2" s="318"/>
      <c r="GI2" s="319">
        <v>43101</v>
      </c>
      <c r="GJ2" s="139"/>
      <c r="GK2" s="320">
        <v>43132</v>
      </c>
      <c r="GL2" s="139"/>
      <c r="GM2" s="320">
        <v>43160</v>
      </c>
      <c r="GN2" s="139"/>
      <c r="GO2" s="320">
        <v>43191</v>
      </c>
      <c r="GP2" s="139"/>
      <c r="GQ2" s="320">
        <v>43221</v>
      </c>
      <c r="GR2" s="139"/>
      <c r="GS2" s="320">
        <v>43253</v>
      </c>
      <c r="GT2" s="139"/>
      <c r="GU2" s="320">
        <v>43284</v>
      </c>
      <c r="GV2" s="139"/>
      <c r="GW2" s="320">
        <v>43315</v>
      </c>
      <c r="GX2" s="139"/>
      <c r="GY2" s="320">
        <v>43346</v>
      </c>
      <c r="GZ2" s="139"/>
      <c r="HA2" s="320">
        <v>43376</v>
      </c>
      <c r="HB2" s="139"/>
      <c r="HC2" s="320">
        <v>43407</v>
      </c>
      <c r="HD2" s="139"/>
      <c r="HE2" s="320">
        <v>43437</v>
      </c>
      <c r="HF2" s="139"/>
      <c r="HG2" s="321"/>
      <c r="HH2" s="320" t="s">
        <v>174</v>
      </c>
      <c r="HI2" s="139"/>
      <c r="HJ2" s="322"/>
      <c r="HK2" s="160"/>
      <c r="HL2" s="323">
        <v>42736</v>
      </c>
      <c r="HM2" s="324"/>
      <c r="HN2" s="325">
        <v>42767</v>
      </c>
      <c r="HO2" s="324"/>
      <c r="HP2" s="325">
        <v>42795</v>
      </c>
      <c r="HQ2" s="324"/>
      <c r="HR2" s="325">
        <v>42827</v>
      </c>
      <c r="HS2" s="324"/>
      <c r="HT2" s="325">
        <v>42857</v>
      </c>
      <c r="HU2" s="324"/>
      <c r="HV2" s="326" t="s">
        <v>175</v>
      </c>
      <c r="HW2" s="325">
        <v>42888</v>
      </c>
      <c r="HX2" s="324"/>
      <c r="HY2" s="325">
        <v>42918</v>
      </c>
      <c r="HZ2" s="324"/>
      <c r="IA2" s="325">
        <v>42949</v>
      </c>
      <c r="IB2" s="324"/>
      <c r="IC2" s="325">
        <v>42980</v>
      </c>
      <c r="ID2" s="324"/>
      <c r="IE2" s="325">
        <v>43010</v>
      </c>
      <c r="IF2" s="324"/>
      <c r="IG2" s="325">
        <v>43041</v>
      </c>
      <c r="IH2" s="324"/>
      <c r="II2" s="325">
        <v>43071</v>
      </c>
      <c r="IJ2" s="324"/>
      <c r="IK2" s="144" t="s">
        <v>51</v>
      </c>
      <c r="IL2" s="139"/>
      <c r="IM2" s="318"/>
      <c r="IN2" s="327">
        <v>42370</v>
      </c>
      <c r="IO2" s="328"/>
      <c r="IP2" s="329">
        <v>42401</v>
      </c>
      <c r="IQ2" s="328"/>
      <c r="IR2" s="329">
        <v>42430</v>
      </c>
      <c r="IS2" s="328"/>
      <c r="IT2" s="329">
        <v>42461</v>
      </c>
      <c r="IU2" s="328"/>
      <c r="IV2" s="329">
        <v>42491</v>
      </c>
      <c r="IW2" s="328"/>
      <c r="IX2" s="329">
        <v>42522</v>
      </c>
      <c r="IY2" s="328"/>
      <c r="IZ2" s="329">
        <v>42552</v>
      </c>
      <c r="JA2" s="328"/>
      <c r="JB2" s="329">
        <v>42584</v>
      </c>
      <c r="JC2" s="328"/>
      <c r="JD2" s="329">
        <v>42615</v>
      </c>
      <c r="JE2" s="328"/>
      <c r="JF2" s="329">
        <v>42645</v>
      </c>
      <c r="JG2" s="328"/>
      <c r="JH2" s="329">
        <v>42676</v>
      </c>
      <c r="JI2" s="328"/>
      <c r="JJ2" s="320">
        <v>42706</v>
      </c>
      <c r="JK2" s="139"/>
      <c r="JL2" s="330"/>
      <c r="JM2" s="331"/>
      <c r="JN2" s="330"/>
    </row>
    <row r="3" ht="35.25" customHeight="1" spans="1:287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332"/>
      <c r="V3" s="29"/>
      <c r="W3" s="55"/>
      <c r="X3" s="29"/>
      <c r="Y3" s="55"/>
      <c r="Z3" s="29"/>
      <c r="AA3" s="55"/>
      <c r="AB3" s="29"/>
      <c r="AC3" s="55"/>
      <c r="AD3" s="29"/>
      <c r="AE3" s="55"/>
      <c r="AF3" s="333"/>
      <c r="AG3" s="334"/>
      <c r="AH3" s="333"/>
      <c r="AI3" s="334"/>
      <c r="AJ3" s="333"/>
      <c r="AK3" s="334"/>
      <c r="AL3" s="333"/>
      <c r="AM3" s="334"/>
      <c r="AN3" s="333"/>
      <c r="AO3" s="334"/>
      <c r="AP3" s="333"/>
      <c r="AQ3" s="334"/>
      <c r="AR3" s="333"/>
      <c r="AS3" s="334"/>
      <c r="AT3" s="333"/>
      <c r="AU3" s="334"/>
      <c r="AV3" s="335"/>
      <c r="AW3" s="336"/>
      <c r="AX3" s="337"/>
      <c r="AY3" s="336"/>
      <c r="AZ3" s="337"/>
      <c r="BA3" s="336"/>
      <c r="BB3" s="337"/>
      <c r="BC3" s="336"/>
      <c r="BD3" s="337"/>
      <c r="BE3" s="336"/>
      <c r="BF3" s="337"/>
      <c r="BG3" s="336"/>
      <c r="BH3" s="337"/>
      <c r="BI3" s="336"/>
      <c r="BJ3" s="337"/>
      <c r="BK3" s="29"/>
      <c r="BL3" s="55"/>
      <c r="BM3" s="29"/>
      <c r="BN3" s="55"/>
      <c r="BO3" s="29"/>
      <c r="BP3" s="55"/>
      <c r="BQ3" s="29"/>
      <c r="BR3" s="55"/>
      <c r="BS3" s="29"/>
      <c r="BT3" s="55"/>
      <c r="BU3" s="333"/>
      <c r="BV3" s="334"/>
      <c r="BW3" s="45"/>
      <c r="BX3" s="29"/>
      <c r="BY3" s="5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307" t="s">
        <v>176</v>
      </c>
      <c r="CY3" s="307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38"/>
      <c r="DN3" s="310"/>
      <c r="DO3" s="339"/>
      <c r="DP3" s="340"/>
      <c r="DQ3" s="29"/>
      <c r="DR3" s="45"/>
      <c r="DS3" s="29"/>
      <c r="DT3" s="340"/>
      <c r="DU3" s="29"/>
      <c r="DV3" s="29"/>
      <c r="DW3" s="340"/>
      <c r="DX3" s="29"/>
      <c r="DY3" s="340"/>
      <c r="DZ3" s="29"/>
      <c r="EA3" s="340"/>
      <c r="EB3" s="29"/>
      <c r="EC3" s="340"/>
      <c r="ED3" s="29"/>
      <c r="EE3" s="340"/>
      <c r="EF3" s="29"/>
      <c r="EG3" s="340"/>
      <c r="EH3" s="29"/>
      <c r="EI3" s="340"/>
      <c r="EJ3" s="29"/>
      <c r="EK3" s="340"/>
      <c r="EL3" s="29"/>
      <c r="EM3" s="340"/>
      <c r="EN3" s="29"/>
      <c r="EO3" s="55"/>
      <c r="EP3" s="29"/>
      <c r="EQ3" s="340"/>
      <c r="ER3" s="29"/>
      <c r="ES3" s="340"/>
      <c r="ET3" s="29"/>
      <c r="EU3" s="340"/>
      <c r="EV3" s="29"/>
      <c r="EW3" s="340"/>
      <c r="EX3" s="29"/>
      <c r="EY3" s="340"/>
      <c r="EZ3" s="29"/>
      <c r="FA3" s="340"/>
      <c r="FB3" s="29"/>
      <c r="FC3" s="340"/>
      <c r="FD3" s="29"/>
      <c r="FE3" s="340"/>
      <c r="FF3" s="29"/>
      <c r="FG3" s="340"/>
      <c r="FH3" s="45"/>
      <c r="FI3" s="340"/>
      <c r="FJ3" s="45"/>
      <c r="FK3" s="340"/>
      <c r="FL3" s="45"/>
      <c r="FM3" s="340"/>
      <c r="FN3" s="45"/>
      <c r="FO3" s="340"/>
      <c r="FP3" s="333"/>
      <c r="FQ3" s="333"/>
      <c r="FR3" s="29"/>
      <c r="FS3" s="29"/>
      <c r="FT3" s="29"/>
      <c r="FU3" s="29"/>
      <c r="FV3" s="29"/>
      <c r="FW3" s="29"/>
      <c r="FX3" s="29"/>
      <c r="FY3" s="29"/>
      <c r="FZ3" s="341"/>
      <c r="GA3" s="29"/>
      <c r="GB3" s="341"/>
      <c r="GC3" s="29"/>
      <c r="GD3" s="341"/>
      <c r="GE3" s="45"/>
      <c r="GF3" s="340"/>
      <c r="GG3" s="318"/>
      <c r="GH3" s="318"/>
      <c r="GI3" s="342" t="s">
        <v>177</v>
      </c>
      <c r="GJ3" s="343" t="s">
        <v>12</v>
      </c>
      <c r="GK3" s="343" t="s">
        <v>178</v>
      </c>
      <c r="GL3" s="157" t="s">
        <v>12</v>
      </c>
      <c r="GM3" s="157" t="s">
        <v>179</v>
      </c>
      <c r="GN3" s="157" t="s">
        <v>12</v>
      </c>
      <c r="GO3" s="157" t="s">
        <v>180</v>
      </c>
      <c r="GP3" s="157" t="s">
        <v>12</v>
      </c>
      <c r="GQ3" s="157" t="s">
        <v>181</v>
      </c>
      <c r="GR3" s="157" t="s">
        <v>12</v>
      </c>
      <c r="GS3" s="157" t="s">
        <v>182</v>
      </c>
      <c r="GT3" s="157" t="s">
        <v>12</v>
      </c>
      <c r="GU3" s="160" t="s">
        <v>183</v>
      </c>
      <c r="GV3" s="344" t="s">
        <v>12</v>
      </c>
      <c r="GW3" s="160" t="s">
        <v>184</v>
      </c>
      <c r="GX3" s="344" t="s">
        <v>12</v>
      </c>
      <c r="GY3" s="160" t="s">
        <v>185</v>
      </c>
      <c r="GZ3" s="344" t="s">
        <v>12</v>
      </c>
      <c r="HA3" s="160" t="s">
        <v>186</v>
      </c>
      <c r="HB3" s="344" t="s">
        <v>12</v>
      </c>
      <c r="HC3" s="160" t="s">
        <v>187</v>
      </c>
      <c r="HD3" s="344" t="s">
        <v>12</v>
      </c>
      <c r="HE3" s="160" t="s">
        <v>188</v>
      </c>
      <c r="HF3" s="344" t="s">
        <v>12</v>
      </c>
      <c r="HG3" s="160"/>
      <c r="HH3" s="160" t="s">
        <v>51</v>
      </c>
      <c r="HI3" s="344" t="s">
        <v>12</v>
      </c>
      <c r="HJ3" s="345" t="s">
        <v>189</v>
      </c>
      <c r="HK3" s="318"/>
      <c r="HL3" s="346" t="s">
        <v>177</v>
      </c>
      <c r="HM3" s="347" t="s">
        <v>12</v>
      </c>
      <c r="HN3" s="348" t="s">
        <v>178</v>
      </c>
      <c r="HO3" s="347" t="s">
        <v>12</v>
      </c>
      <c r="HP3" s="348" t="s">
        <v>179</v>
      </c>
      <c r="HQ3" s="349" t="s">
        <v>12</v>
      </c>
      <c r="HR3" s="348" t="s">
        <v>180</v>
      </c>
      <c r="HS3" s="350" t="s">
        <v>12</v>
      </c>
      <c r="HT3" s="348" t="s">
        <v>181</v>
      </c>
      <c r="HU3" s="349" t="s">
        <v>12</v>
      </c>
      <c r="HV3" s="144"/>
      <c r="HW3" s="346" t="s">
        <v>182</v>
      </c>
      <c r="HX3" s="350" t="s">
        <v>12</v>
      </c>
      <c r="HY3" s="348" t="s">
        <v>183</v>
      </c>
      <c r="HZ3" s="350" t="s">
        <v>12</v>
      </c>
      <c r="IA3" s="348" t="s">
        <v>184</v>
      </c>
      <c r="IB3" s="350" t="s">
        <v>12</v>
      </c>
      <c r="IC3" s="348" t="s">
        <v>185</v>
      </c>
      <c r="ID3" s="350" t="s">
        <v>12</v>
      </c>
      <c r="IE3" s="348" t="s">
        <v>186</v>
      </c>
      <c r="IF3" s="350" t="s">
        <v>12</v>
      </c>
      <c r="IG3" s="348" t="s">
        <v>187</v>
      </c>
      <c r="IH3" s="350" t="s">
        <v>12</v>
      </c>
      <c r="II3" s="348" t="s">
        <v>188</v>
      </c>
      <c r="IJ3" s="350" t="s">
        <v>12</v>
      </c>
      <c r="IK3" s="144" t="s">
        <v>51</v>
      </c>
      <c r="IL3" s="144" t="s">
        <v>12</v>
      </c>
      <c r="IM3" s="318"/>
      <c r="IN3" s="351" t="s">
        <v>177</v>
      </c>
      <c r="IO3" s="352" t="s">
        <v>12</v>
      </c>
      <c r="IP3" s="353" t="s">
        <v>178</v>
      </c>
      <c r="IQ3" s="352" t="s">
        <v>12</v>
      </c>
      <c r="IR3" s="353" t="s">
        <v>179</v>
      </c>
      <c r="IS3" s="352" t="s">
        <v>12</v>
      </c>
      <c r="IT3" s="353" t="s">
        <v>180</v>
      </c>
      <c r="IU3" s="352" t="s">
        <v>12</v>
      </c>
      <c r="IV3" s="353" t="s">
        <v>181</v>
      </c>
      <c r="IW3" s="352" t="s">
        <v>12</v>
      </c>
      <c r="IX3" s="353" t="s">
        <v>182</v>
      </c>
      <c r="IY3" s="352" t="s">
        <v>12</v>
      </c>
      <c r="IZ3" s="353" t="s">
        <v>183</v>
      </c>
      <c r="JA3" s="352" t="s">
        <v>12</v>
      </c>
      <c r="JB3" s="353" t="s">
        <v>184</v>
      </c>
      <c r="JC3" s="352" t="s">
        <v>12</v>
      </c>
      <c r="JD3" s="353" t="s">
        <v>185</v>
      </c>
      <c r="JE3" s="352" t="s">
        <v>12</v>
      </c>
      <c r="JF3" s="354" t="s">
        <v>186</v>
      </c>
      <c r="JG3" s="352" t="s">
        <v>12</v>
      </c>
      <c r="JH3" s="354" t="s">
        <v>187</v>
      </c>
      <c r="JI3" s="352" t="s">
        <v>12</v>
      </c>
      <c r="JJ3" s="355" t="s">
        <v>188</v>
      </c>
      <c r="JK3" s="356" t="s">
        <v>12</v>
      </c>
      <c r="JL3" s="145" t="s">
        <v>51</v>
      </c>
      <c r="JM3" s="357" t="s">
        <v>12</v>
      </c>
      <c r="JN3" s="358"/>
      <c r="JO3" s="311" t="s">
        <v>190</v>
      </c>
      <c r="JP3" s="145">
        <v>42005</v>
      </c>
      <c r="JQ3" s="145">
        <v>42036</v>
      </c>
      <c r="JR3" s="145">
        <v>42064</v>
      </c>
      <c r="JS3" s="145">
        <v>42095</v>
      </c>
      <c r="JT3" s="145">
        <v>42125</v>
      </c>
      <c r="JU3" s="145">
        <v>42156</v>
      </c>
      <c r="JV3" s="145">
        <v>42186</v>
      </c>
      <c r="JW3" s="145">
        <v>42217</v>
      </c>
      <c r="JX3" s="145">
        <v>42248</v>
      </c>
      <c r="JY3" s="145">
        <v>42278</v>
      </c>
      <c r="JZ3" s="145">
        <v>42309</v>
      </c>
      <c r="KA3" s="145">
        <v>42339</v>
      </c>
    </row>
    <row r="4" s="284" customFormat="1" ht="28.8" hidden="1" customHeight="1" spans="1:287">
      <c r="A4" s="298" t="s">
        <v>80</v>
      </c>
      <c r="B4" s="164" t="s">
        <v>206</v>
      </c>
      <c r="C4" s="109">
        <f>C8+C10+C14+C36+C18+C22+C26+C28+C38+C32+C42+C44+C48+C50+C52+C54+C56</f>
        <v>1473.3801</v>
      </c>
      <c r="D4" s="359">
        <f t="shared" ref="D4:D15" si="0">C4/V4-1</f>
        <v>-0.127219049178382</v>
      </c>
      <c r="E4" s="109">
        <f>E8+E10+E14+E36+E18+E22+E26+E28+E38+E32+E42+E44+E48+E50+E52+E54+E56</f>
        <v>1543.1715</v>
      </c>
      <c r="F4" s="359">
        <f t="shared" ref="F4:F15" si="1">E4/X4-1</f>
        <v>-0.102741642382914</v>
      </c>
      <c r="G4" s="109">
        <f>G8+G10+G14+G36+G18+G22+G26+G28+G38+G32+G42+G44+G48+G50+G52+G54+G56</f>
        <v>1575.6657</v>
      </c>
      <c r="H4" s="359">
        <f t="shared" ref="H4:H15" si="2">G4/Z4-1</f>
        <v>-0.0849203354617905</v>
      </c>
      <c r="I4" s="109">
        <f>I8+I10+I14+I36+I18+I22+I26+I28+I38+I32+I42+I44+I48+I50+I52+I54+I56</f>
        <v>1662.9693</v>
      </c>
      <c r="J4" s="359">
        <f t="shared" ref="J4:J15" si="3">I4/AB4-1</f>
        <v>-0.0886191475718898</v>
      </c>
      <c r="K4" s="109">
        <f>K8+K10+K14+K36+K18+K22+K26+K28+K38+K32+K42+K44+K48+K50+K52+K54+K56</f>
        <v>1699.6399</v>
      </c>
      <c r="L4" s="359">
        <f t="shared" ref="L4:L15" si="4">K4/AD4-1</f>
        <v>-0.0619150767173846</v>
      </c>
      <c r="M4" s="109">
        <f>M8+M10+M14+M36+M18+M22+M26+M28+M38+M32+M42+M44+M48+M50+M52+M54+M56</f>
        <v>1618.5128</v>
      </c>
      <c r="N4" s="359">
        <f t="shared" ref="N4:N15" si="5">M4/AF4-1</f>
        <v>-0.0579329681972091</v>
      </c>
      <c r="O4" s="109">
        <f>O8+O10+O14+O36+O18+O22+O26+O28+O38+O32+O42+O44+O48+O50+O52+O54+O56</f>
        <v>1631.2013</v>
      </c>
      <c r="P4" s="359">
        <f t="shared" ref="P4:P15" si="6">O4/AH4-1</f>
        <v>-0.0845658041040851</v>
      </c>
      <c r="Q4" s="127"/>
      <c r="R4" s="127"/>
      <c r="S4" s="109">
        <f t="shared" ref="S4:S35" si="7">G4+E4+C4+I4+K4+M4+O4+Q4</f>
        <v>11204.5406</v>
      </c>
      <c r="T4" s="359">
        <f t="shared" ref="T4:T35" si="8">S4/SUM(V4+X4+Z4+AB4+AD4+AF4+AH4+AJ4)-1</f>
        <v>-0.202586566513601</v>
      </c>
      <c r="U4" s="359"/>
      <c r="V4" s="109">
        <f>V8+V10+V14+V36+V18+V22+V26+V28+V38+V32+V42+V44+V48+V50+V52+V54+V56</f>
        <v>1688.1442</v>
      </c>
      <c r="W4" s="359">
        <f t="shared" ref="W4:W15" si="9">V4/AW4-1</f>
        <v>0.190499721053353</v>
      </c>
      <c r="X4" s="109">
        <f>X8+X10+X14+X36+X18+X22+X26+X28+X38+X32+X42+X44+X48+X50+X52+X54+X56</f>
        <v>1719.8742</v>
      </c>
      <c r="Y4" s="359">
        <f t="shared" ref="Y4:Y15" si="10">X4/AY4-1</f>
        <v>0.170584463846713</v>
      </c>
      <c r="Z4" s="109">
        <f>Z8+Z10+Z14+Z36+Z18+Z22+Z26+Z28+Z38+Z32+Z42+Z44+Z48+Z50+Z52+Z54+Z56</f>
        <v>1721.8891</v>
      </c>
      <c r="AA4" s="359">
        <f t="shared" ref="AA4:AA15" si="11">Z4/BA4-1</f>
        <v>0.19615960797894</v>
      </c>
      <c r="AB4" s="109">
        <f>AB8+AB10+AB14+AB36+AB18+AB22+AB26+AB28+AB38+AB32+AB42+AB44+AB48+AB50+AB52+AB54+AB56</f>
        <v>1824.67</v>
      </c>
      <c r="AC4" s="359">
        <f t="shared" ref="AC4:AC15" si="12">AB4/BC4-1</f>
        <v>0.177125571694591</v>
      </c>
      <c r="AD4" s="109">
        <f>AD8+AD10+AD14+AD36+AD18+AD22+AD26+AD28+AD38+AD32+AD42+AD44+AD48+AD50+AD52+AD54+AD56</f>
        <v>1811.8188</v>
      </c>
      <c r="AE4" s="359">
        <f t="shared" ref="AE4:AE15" si="13">AD4/BE4-1</f>
        <v>0.129176853074476</v>
      </c>
      <c r="AF4" s="109">
        <f>AF8+AF10+AF14+AF36+AF18+AF22+AF26+AF28+AF38+AF32+AF42+AF44+AF48+AF50+AF52+AF54+AF56</f>
        <v>1718.0442</v>
      </c>
      <c r="AG4" s="359">
        <f t="shared" ref="AG4:AG15" si="14">AF4/BG4-1</f>
        <v>0.128947823384797</v>
      </c>
      <c r="AH4" s="109">
        <f>AH8+AH10+AH14+AH36+AH18+AH22+AH26+AH28+AH38+AH32+AH42+AH44+AH48+AH50+AH52+AH54+AH56</f>
        <v>1781.8881</v>
      </c>
      <c r="AI4" s="359">
        <f t="shared" ref="AI4:AI15" si="15">AH4/BI4-1</f>
        <v>0.151867270183039</v>
      </c>
      <c r="AJ4" s="109">
        <f>AJ8+AJ10+AJ14+AJ36+AJ18+AJ22+AJ26+AJ28+AJ38+AJ32+AJ42+AJ44+AJ48+AJ50+AJ52+AJ54+AJ56</f>
        <v>1784.7773</v>
      </c>
      <c r="AK4" s="359">
        <f t="shared" ref="AK4:AK15" si="16">AJ4/BK4-1</f>
        <v>0.108549342128963</v>
      </c>
      <c r="AL4" s="109">
        <f>AL8+AL10+AL14+AL36+AL18+AL22+AL26+AL28+AL38+AL32+AL42+AL44+AL48+AL50+AL52+AL54+AL56</f>
        <v>1666.8001</v>
      </c>
      <c r="AM4" s="359">
        <f t="shared" ref="AM4:AM15" si="17">AL4/BM4-1</f>
        <v>0.0974185383397246</v>
      </c>
      <c r="AN4" s="109">
        <f>AN8+AN10+AN14+AN36+AN18+AN22+AN26+AN28+AN38+AN32+AN42+AN44+AN48+AN50+AN52+AN54+AN56</f>
        <v>1723.7631</v>
      </c>
      <c r="AO4" s="359">
        <f t="shared" ref="AO4:AO15" si="18">AN4/BO4-1</f>
        <v>-0.085402999547626</v>
      </c>
      <c r="AP4" s="109">
        <f>AP8+AP10+AP14+AP36+AP18+AP22+AP26+AP28+AP38+AP32+AP42+AP44+AP48+AP50+AP52+AP54+AP56</f>
        <v>1638.517</v>
      </c>
      <c r="AQ4" s="359">
        <f t="shared" ref="AQ4:AQ15" si="19">AP4/BQ4-1</f>
        <v>-0.0654879941405538</v>
      </c>
      <c r="AR4" s="109">
        <f>AR8+AR10+AR14+AR36+AR18+AR22+AR26+AR28+AR38+AR32+AR42+AR44+AR48+AR50+AR52+AR54+AR56</f>
        <v>1550.368</v>
      </c>
      <c r="AS4" s="359">
        <f t="shared" ref="AS4:AS15" si="20">AR4/BS4-1</f>
        <v>-0.0600194572227875</v>
      </c>
      <c r="AT4" s="107">
        <f t="shared" ref="AT4:AT35" si="21">Z4+V4+X4+AB4+AD4+AF4+AH4+AJ4+AL4+AN4+AP4+AR4</f>
        <v>20630.5541</v>
      </c>
      <c r="AU4" s="359">
        <f t="shared" ref="AU4:AU35" si="22">AT4/(AW4+AY4+BA4+BC4+BE4+BG4+BI4+BK4+BM4+BO4+BQ4+BS4)-1</f>
        <v>0.0877383748500005</v>
      </c>
      <c r="AV4" s="360"/>
      <c r="AW4" s="108">
        <f>AW8+AW10+AW14+AW36+AW18+AW22+AW26+AW28+AW38+AW32+AW42+AW44+AW48+AW50+AW52+AW54+AW56</f>
        <v>1418.0131</v>
      </c>
      <c r="AX4" s="361">
        <v>0.000594000174855447</v>
      </c>
      <c r="AY4" s="108">
        <f>AY8+AY10+AY14+AY36+AY18+AY22+AY26+AY28+AY38+AY32+AY42+AY44+AY48+AY50+AY52+AY54+AY56</f>
        <v>1469.244</v>
      </c>
      <c r="AZ4" s="361">
        <f t="shared" ref="AZ4:AZ15" si="23">AY4/BZ4-1</f>
        <v>-0.00757772635030696</v>
      </c>
      <c r="BA4" s="108">
        <f>BA8+BA10+BA14+BA36+BA18+BA22+BA26+BA28+BA38+BA32+BA42+BA44+BA48+BA50+BA52+BA54+BA56</f>
        <v>1439.5145</v>
      </c>
      <c r="BB4" s="361">
        <f t="shared" ref="BB4:BB15" si="24">BA4/CB4-1</f>
        <v>-0.0701055211274484</v>
      </c>
      <c r="BC4" s="108">
        <f>BC8+BC10+BC14+BC36+BC18+BC22+BC26+BC28+BC38+BC32+BC42+BC44+BC48+BC50+BC52+BC54+BC56</f>
        <v>1550.1065</v>
      </c>
      <c r="BD4" s="361">
        <f t="shared" ref="BD4:BD15" si="25">BC4/CD4-1</f>
        <v>-0.0370367494333663</v>
      </c>
      <c r="BE4" s="362">
        <f>BE8+BE10+BE14+BE36+BE18+BE22+BE26+BE28+BE38+BE32+BE42+BE44+BE48+BE50+BE52+BE54+BE56</f>
        <v>1604.5483</v>
      </c>
      <c r="BF4" s="361">
        <f t="shared" ref="BF4:BF15" si="26">BE4/CF4-1</f>
        <v>-0.0130711090846208</v>
      </c>
      <c r="BG4" s="363">
        <f>BG8+BG10+BG14+BG36+BG18+BG22+BG26+BG28+BG38+BG32+BG42+BG44+BG48+BG50+BG52+BG54+BG56</f>
        <v>1521.8101</v>
      </c>
      <c r="BH4" s="361">
        <f t="shared" ref="BH4:BH15" si="27">BG4/CH4-1</f>
        <v>-0.048443639168071</v>
      </c>
      <c r="BI4" s="363">
        <f>BI8+BI10+BI14+BI36+BI18+BI22+BI26+BI28+BI38+BI32+BI42+BI44+BI48+BI50+BI52+BI54+BI56</f>
        <v>1546.9561</v>
      </c>
      <c r="BJ4" s="361">
        <f t="shared" ref="BJ4:BJ15" si="28">BI4/CJ4-1</f>
        <v>-0.0797757706234081</v>
      </c>
      <c r="BK4" s="363">
        <f>BK8+BK10+BK14+BK36+BK18+BK22+BK26+BK28+BK38+BK32+BK42+BK44+BK48+BK50+BK52+BK54+BK56</f>
        <v>1610.0116</v>
      </c>
      <c r="BL4" s="361">
        <f t="shared" ref="BL4:BL15" si="29">BK4/CL4-1</f>
        <v>-0.0473961945941365</v>
      </c>
      <c r="BM4" s="363">
        <f>BM8+BM10+BM14+BM36+BM18+BM22+BM26+BM28+BM38+BM32+BM42+BM44+BM48+BM50+BM52+BM54+BM56</f>
        <v>1518.8372</v>
      </c>
      <c r="BN4" s="361">
        <f t="shared" ref="BN4:BN15" si="30">BM4/CN4-1</f>
        <v>-0.024644212241931</v>
      </c>
      <c r="BO4" s="363">
        <f>BO8+BO10+BO14+BO36+BO18+BO22+BO26+BO28+BO38+BO32+BO42+BO44+BO48+BO50+BO52+BO54+BO56</f>
        <v>1884.7242</v>
      </c>
      <c r="BP4" s="361">
        <f t="shared" ref="BP4:BP15" si="31">BO4/CP4-1</f>
        <v>0.156001316010281</v>
      </c>
      <c r="BQ4" s="363">
        <f>BQ8+BQ10+BQ14+BQ36+BQ18+BQ22+BQ26+BQ28+BQ38+BQ32+BQ42+BQ44+BQ48+BQ50+BQ52+BQ54+BQ56</f>
        <v>1753.3397</v>
      </c>
      <c r="BR4" s="361">
        <f t="shared" ref="BR4:BR15" si="32">BQ4/CR4-1</f>
        <v>0.163322293090999</v>
      </c>
      <c r="BS4" s="363">
        <f>BS8+BS10+BS14+BS36+BS18+BS22+BS26+BS28+BS38+BS32+BS42+BS44+BS48+BS50+BS52+BS54+BS56</f>
        <v>1649.3618</v>
      </c>
      <c r="BT4" s="361">
        <f t="shared" ref="BT4:BT15" si="33">BS4/CT4-1</f>
        <v>0.172572903070962</v>
      </c>
      <c r="BU4" s="108">
        <f t="shared" ref="BU4:BU35" si="34">AW4+AY4+BA4+BC4+BE4+BG4+BI4+BK4+BM4+BO4+BQ4+BS4</f>
        <v>18966.4671</v>
      </c>
      <c r="BV4" s="361">
        <f t="shared" ref="BV4:BV35" si="35">BU4/CV4-1</f>
        <v>0.011379728608101</v>
      </c>
      <c r="BW4" s="364"/>
      <c r="BX4" s="108">
        <f>BX8+BX10+BX14+BX36+BX18+BX22+BX26+BX28+BX38+BX32+BX42+BX44+BX48+BX50+BX52+BX54+BX56</f>
        <v>1417.1713</v>
      </c>
      <c r="BY4" s="361">
        <f t="shared" ref="BY4:BY35" si="36">BX4/CZ4-1</f>
        <v>-0.143042171197301</v>
      </c>
      <c r="BZ4" s="108">
        <f>BZ8+BZ10+BZ14+BZ36+BZ18+BZ22+BZ26+BZ28+BZ38+BZ32+BZ42+BZ44+BZ48+BZ50+BZ52+BZ54+BZ56</f>
        <v>1480.46254</v>
      </c>
      <c r="CA4" s="361">
        <f t="shared" ref="CA4:CA35" si="37">BZ4/DA4-1</f>
        <v>-0.134227724162476</v>
      </c>
      <c r="CB4" s="108">
        <f>SUM(CB8,CB10,CB18,CB14,CB36,CB22,CB26,CB28,CB38,CB32,CB42,CB44,CB48,CB52,CB50,CB54,CB56)</f>
        <v>1548.0407</v>
      </c>
      <c r="CC4" s="361">
        <f t="shared" ref="CC4:CC35" si="38">CB4/DB4-1</f>
        <v>0.00428639964033439</v>
      </c>
      <c r="CD4" s="108">
        <v>1609.7255</v>
      </c>
      <c r="CE4" s="361">
        <v>0.200779685072039</v>
      </c>
      <c r="CF4" s="108">
        <f>SUM(CF8,CF10,CF18,CF14,CF36,CF22,CF26,CF28,CF38,CF32,CF42,CF44,CF48,CF52,CF50,CF54,CF56)</f>
        <v>1625.7993</v>
      </c>
      <c r="CG4" s="361">
        <f t="shared" ref="CG4:CG35" si="39">CF4/DD4-1</f>
        <v>0.128703338132188</v>
      </c>
      <c r="CH4" s="108">
        <f>SUM(CH8,CH10,CH18,CH14,CH36,CH22,CH26,CH28,CH38,CH32,CH42,CH44,CH48,CH52,CH50,CH54,CH56)</f>
        <v>1599.2853</v>
      </c>
      <c r="CI4" s="361">
        <f t="shared" ref="CI4:CI35" si="40">CH4/DE4-1</f>
        <v>0.0593215590113703</v>
      </c>
      <c r="CJ4" s="108">
        <f>SUM(CJ8,CJ10,CJ18,CJ14,CJ36,CJ22,CJ26,CJ28,CJ38,CJ32,CJ42,CJ44,CJ48,CJ52,CJ50,CJ54,CJ56)</f>
        <v>1681.0643</v>
      </c>
      <c r="CK4" s="361">
        <f t="shared" ref="CK4:CK35" si="41">CJ4/DF4-1</f>
        <v>0.0212292128422105</v>
      </c>
      <c r="CL4" s="108">
        <f>SUM(CL8,CL10,CL18,CL14,CL36,CL22,CL26,CL28,CL38,CL32,CL42,CL44,CL48,CL52,CL50,CL54,CL56)</f>
        <v>1690.1167</v>
      </c>
      <c r="CM4" s="361">
        <f t="shared" ref="CM4:CM35" si="42">CL4/DG4-1</f>
        <v>0.073586749220846</v>
      </c>
      <c r="CN4" s="108">
        <f>SUM(CN8,CN10,CN18,CN14,CN36,CN22,CN26,CN28,CN38,CN32,CN42,CN44,CN48,CN52,CN50,CN54,CN56)</f>
        <v>1557.2135</v>
      </c>
      <c r="CO4" s="361">
        <f t="shared" ref="CO4:CO35" si="43">CN4/DH4-1</f>
        <v>-0.0523573501945565</v>
      </c>
      <c r="CP4" s="108">
        <f>SUM(CP8,CP10,CP18,CP14,CP36,CP22,CP26,CP28,CP38,CP32,CP42,CP44,CP48,CP52,CP50,CP54,CP56)</f>
        <v>1630.3824</v>
      </c>
      <c r="CQ4" s="361">
        <f t="shared" ref="CQ4:CQ35" si="44">CP4/DI4-1</f>
        <v>0.261346281974591</v>
      </c>
      <c r="CR4" s="108">
        <f>SUM(CR8,CR10,CR18,CR14,CR36,CR22,CR26,CR28,CR38,CR32,CR42,CR44,CR48,CR52,CR50,CR54,CR56)</f>
        <v>1507.1831</v>
      </c>
      <c r="CS4" s="361">
        <f t="shared" ref="CS4:CS35" si="45">CR4/DJ4-1</f>
        <v>0.447443488616092</v>
      </c>
      <c r="CT4" s="108">
        <f>SUM(CT8,CT10,CT18,CT14,CT36,CT22,CT26,CT28,CT38,CT32,CT42,CT44,CT48,CT52,CT50,CT54,CT56)</f>
        <v>1406.6177</v>
      </c>
      <c r="CU4" s="361">
        <f t="shared" ref="CU4:CU35" si="46">CT4/DK4-1</f>
        <v>0.380706668309176</v>
      </c>
      <c r="CV4" s="108">
        <f t="shared" ref="CV4:CV35" si="47">BX4+BZ4+CB4+CD4+CF4+CH4+CJ4+CL4+CN4+CP4+CR4+CT4</f>
        <v>18753.06234</v>
      </c>
      <c r="CW4" s="361">
        <f t="shared" ref="CW4:CW35" si="48">CV4/SUM(CZ4:DK4)-1</f>
        <v>0.0770129057626028</v>
      </c>
      <c r="CX4" s="365">
        <f t="shared" ref="CX4:CX35" si="49">CT4/CR4-1</f>
        <v>-0.0667240761922023</v>
      </c>
      <c r="CY4" s="365"/>
      <c r="CZ4" s="366">
        <v>1653.7235</v>
      </c>
      <c r="DA4" s="367">
        <v>1709.9907</v>
      </c>
      <c r="DB4" s="367">
        <v>1541.4335</v>
      </c>
      <c r="DC4" s="367">
        <v>1340.5669</v>
      </c>
      <c r="DD4" s="108">
        <v>1440.4133</v>
      </c>
      <c r="DE4" s="108">
        <v>1509.726</v>
      </c>
      <c r="DF4" s="108">
        <v>1646.1185</v>
      </c>
      <c r="DG4" s="108">
        <v>1574.2712</v>
      </c>
      <c r="DH4" s="108">
        <v>1643.2497</v>
      </c>
      <c r="DI4" s="108">
        <v>1292.5732</v>
      </c>
      <c r="DJ4" s="108">
        <v>1041.2725</v>
      </c>
      <c r="DK4" s="108">
        <v>1018.7665</v>
      </c>
      <c r="DL4" s="108">
        <v>17412.1055</v>
      </c>
      <c r="DM4" s="368">
        <v>-0.174718613432535</v>
      </c>
      <c r="DN4" s="369"/>
      <c r="DO4" s="370">
        <f>DO8+DO10+DO14+DO36+DO18+DO22+DO26+DO28+DO38+DO32+DO42+DO44+DO48+DO50+DO52+DO54+DO56</f>
        <v>1810.6723</v>
      </c>
      <c r="DP4" s="371">
        <f>(DO4-DX4)/DX4</f>
        <v>-0.0915680046028864</v>
      </c>
      <c r="DQ4" s="372">
        <f>DQ8+DQ10+DQ14+DQ36+DQ18+DQ22+DQ26+DQ28+DQ38+DQ32+DQ42+DQ44+DQ48+DQ50+DQ52+DQ54+DQ56</f>
        <v>1904.8374</v>
      </c>
      <c r="DR4" s="373"/>
      <c r="DS4" s="372">
        <f>DS8+DS10+DS14+DS36+DS18+DS22+DS26+DS28+DS38+DS32+DS42+DS44+DS48+DS50+DS52+DS54+DS56</f>
        <v>1851.3825</v>
      </c>
      <c r="DT4" s="373">
        <f t="shared" ref="DT4:DT35" si="50">(DS4-ET4)/ET4</f>
        <v>8.84905229771721</v>
      </c>
      <c r="DU4" s="374"/>
      <c r="DV4" s="372">
        <f>DV8+DV10+DV14+DV36+DV18+DV22+DV26+DV28+DV38+DV32+DV42+DV44+DV48+DV50+DV52+DV54+DV56</f>
        <v>1950.9743</v>
      </c>
      <c r="DW4" s="373">
        <f t="shared" ref="DW4:DW35" si="51">(DV4-EV4)/EV4</f>
        <v>0.666065161683036</v>
      </c>
      <c r="DX4" s="372">
        <f>DX8+DX10+DX14+DX36+DX18+DX22+DX26+DX28+DX38+DX32+DX42+DX44+DX48+DX50+DX52+DX54+DX56</f>
        <v>1993.1842</v>
      </c>
      <c r="DY4" s="373">
        <f t="shared" ref="DY4:DY35" si="52">(DX4-EX4)/EX4</f>
        <v>0.536367459584089</v>
      </c>
      <c r="DZ4" s="372">
        <f>DZ8+DZ10+DZ14+DZ36+DZ18+DZ22+DZ26+DZ28+DZ38+DZ32+DZ42+DZ44+DZ48+DZ50+DZ52+DZ54+DZ56</f>
        <v>1872.4959</v>
      </c>
      <c r="EA4" s="373">
        <f t="shared" ref="EA4:EA35" si="53">(DZ4-EZ4)/EZ4</f>
        <v>0.417218121510164</v>
      </c>
      <c r="EB4" s="372">
        <f>EB8+EB10+EB14+EB36+EB18+EB22+EB26+EB28+EB38+EB32+EB42+EB44+EB48+EB50+EB52+EB54+EB56</f>
        <v>1905.9223</v>
      </c>
      <c r="EC4" s="373">
        <f t="shared" ref="EC4:EC35" si="54">(EB4-FB4)/FB4</f>
        <v>0.211088956331092</v>
      </c>
      <c r="ED4" s="372">
        <f>ED8+ED10+ED14+ED36+ED18+ED22+ED26+ED28+ED38+ED32+ED42+ED44+ED48+ED50+ED52+ED54+ED56</f>
        <v>1299.9739</v>
      </c>
      <c r="EE4" s="373">
        <f t="shared" ref="EE4:EE35" si="55">(ED4-FD4)/FD4</f>
        <v>-0.319355102190412</v>
      </c>
      <c r="EF4" s="372">
        <f>EF8+EF10+EF14+EF36+EF18+EF22+EF26+EF28+EF38+EF32+EF42+EF44+EF48+EF50+EF52+EF54+EF56</f>
        <v>1593.5258</v>
      </c>
      <c r="EG4" s="373">
        <f t="shared" ref="EG4:EG35" si="56">(EF4-FF4)/FF4</f>
        <v>-0.29070517452799</v>
      </c>
      <c r="EH4" s="372">
        <f>EH8+EH10+EH14+EH36+EH18+EH22+EH26+EH28+EH38+EH32+EH42+EH44+EH48+EH50+EH52+EH54+EH56</f>
        <v>1727.6503</v>
      </c>
      <c r="EI4" s="373">
        <f t="shared" ref="EI4:EI35" si="57">(EH4-FH4)/FH4</f>
        <v>-0.250062333823496</v>
      </c>
      <c r="EJ4" s="372">
        <f>EJ8+EJ10+EJ14+EJ36+EJ18+EJ22+EJ26+EJ28+EJ38+EJ32+EJ42+EJ44+EJ48+EJ50+EJ52+EJ54+EJ56</f>
        <v>1602.9103</v>
      </c>
      <c r="EK4" s="373">
        <f t="shared" ref="EK4:EK35" si="58">(EJ4-FJ4)/FJ4</f>
        <v>-0.25905138107516</v>
      </c>
      <c r="EL4" s="372">
        <f>EL8+EL10+EL14+EL36+EL18+EL22+EL26+EL28+EL38+EL32+EL42+EL44+EL48+EL50+EL52+EL54+EL56</f>
        <v>1584.8571</v>
      </c>
      <c r="EM4" s="373">
        <f t="shared" ref="EM4:EM35" si="59">(EL4-FL4)/FL4</f>
        <v>-0.200279397617324</v>
      </c>
      <c r="EN4" s="372">
        <f>EN8+EN10+EN14+EN36+EN18+EN22+EN26+EN28+EN38+EN32+EN42+EN44+EN48+EN50+EN52+EN54+EN56</f>
        <v>21098.3863</v>
      </c>
      <c r="EO4" s="373">
        <f t="shared" ref="EO4:EO35" si="60">(EN4-FN4)/FN4</f>
        <v>-0.0291050326310545</v>
      </c>
      <c r="EP4" s="374">
        <f>EP8+EP10+EP14+EP36+EP18+EP22+EP26+EP28+EP38+EP32+EP42+EP44+EP48+EP50+EP52+EP54+EP56</f>
        <v>5574.2123</v>
      </c>
      <c r="EQ4" s="373">
        <f>(EP4-FP4)/FP4</f>
        <v>-0.114925893506554</v>
      </c>
      <c r="ER4" s="374">
        <f>ER8+ER10+ER14+ER36+ER18+ER22+ER26+ER28+ER38+ER32+ER42+ER44+ER48+ER50+ER52+ER54+ER56</f>
        <v>0</v>
      </c>
      <c r="ES4" s="373">
        <f>(ER4-FQ4)/FQ4</f>
        <v>-1</v>
      </c>
      <c r="ET4" s="374">
        <f>ET8+ET10+ET14+ET36+ET18+ET22+ET26+ET28+ET38+ET32+ET42+ET44+ET48+ET50+ET52+ET54+ET56</f>
        <v>187.9757</v>
      </c>
      <c r="EU4" s="373">
        <f>(ET4-FR4)/FR4</f>
        <v>-0.97066002744204</v>
      </c>
      <c r="EV4" s="374">
        <f>EV8+EV10+EV14+EV36+EV18+EV22+EV26+EV28+EV38+EV32+EV42+EV44+EV48+EV50+EV52+EV54+EV56</f>
        <v>1171.0072</v>
      </c>
      <c r="EW4" s="373">
        <f>(EV4-FS4)/FS4</f>
        <v>-0.787486991597966</v>
      </c>
      <c r="EX4" s="374">
        <f>EX8+EX10+EX14+EX36+EX18+EX22+EX26+EX28+EX38+EX32+EX42+EX44+EX48+EX50+EX52+EX54+EX56</f>
        <v>1297.3356</v>
      </c>
      <c r="EY4" s="373">
        <f>(EX4-FT4)/FT4</f>
        <v>-0.764105844310529</v>
      </c>
      <c r="EZ4" s="374">
        <f>EZ8+EZ10+EZ14+EZ36+EZ18+EZ22+EZ26+EZ28+EZ38+EZ32+EZ42+EZ44+EZ48+EZ50+EZ52+EZ54+EZ56</f>
        <v>1321.2475</v>
      </c>
      <c r="FA4" s="373">
        <f>(EZ4-FU4)/FU4</f>
        <v>-0.752653094264632</v>
      </c>
      <c r="FB4" s="374">
        <f>FB8+FB10+FB14+FB36+FB18+FB22+FB26+FB28+FB38+FB32+FB42+FB44+FB48+FB50+FB52+FB54+FB56</f>
        <v>1573.7261</v>
      </c>
      <c r="FC4" s="373">
        <f>(FB4-FV4)/FV4</f>
        <v>-0.70892206493037</v>
      </c>
      <c r="FD4" s="374">
        <f>FD8+FD10+FD14+FD36+FD18+FD22+FD26+FD28+FD38+FD32+FD42+FD44+FD48+FD50+FD52+FD54+FD56</f>
        <v>1909.915</v>
      </c>
      <c r="FE4" s="373">
        <f>(FD4-FW4)/FW4</f>
        <v>-0.641419659841184</v>
      </c>
      <c r="FF4" s="374">
        <f>FF8+FF10+FF14+FF36+FF18+FF22+FF26+FF28+FF38+FF32+FF42+FF44+FF48+FF50+FF52+FF54+FF56</f>
        <v>2246.6339</v>
      </c>
      <c r="FG4" s="373">
        <f>(FF4-FX4)/FX4</f>
        <v>-0.592688545182706</v>
      </c>
      <c r="FH4" s="374">
        <f>FH8+FH10+FH14+FH36+FH18+FH22+FH26+FH28+FH38+FH32+FH42+FH44+FH48+FH50+FH52+FH54+FH56</f>
        <v>2303.7252</v>
      </c>
      <c r="FI4" s="373">
        <f>(FH4-FY4)/FY4</f>
        <v>-0.607095186046845</v>
      </c>
      <c r="FJ4" s="374">
        <f>FJ8+FJ10+FJ14+FJ36+FJ18+FJ22+FJ26+FJ28+FJ38+FJ32+FJ42+FJ44+FJ48+FJ50+FJ52+FJ54+FJ56</f>
        <v>2163.3218</v>
      </c>
      <c r="FK4" s="373">
        <f>(FJ4-GA4)/GA4</f>
        <v>-0.581615180820178</v>
      </c>
      <c r="FL4" s="374">
        <f>FL8+FL10+FL14+FL36+FL18+FL22+FL26+FL28+FL38+FL32+FL42+FL44+FL48+FL50+FL52+FL54+FL56</f>
        <v>1981.7635</v>
      </c>
      <c r="FM4" s="373">
        <f>(FL4-GC4)/GC4</f>
        <v>-0.63086082334305</v>
      </c>
      <c r="FN4" s="374">
        <f>EP4+ER4+ET4+EV4+EX4+EZ4+FB4+FD4+FF4+FH4+FJ4+FL4</f>
        <v>21730.8638</v>
      </c>
      <c r="FO4" s="373">
        <f>(FN4-(FP4+FQ4+FR4+FS4+FT4+FU4+FV4+FW4+FX4+FY4+GA4+GC4))/(FP4+FQ4+FR4+FS4+FT4+FU4+FV4+FW4+FX4+FY4+GA4+GC4)</f>
        <v>-0.687704788911308</v>
      </c>
      <c r="FP4" s="375">
        <f>FP8+FP10+FP14+FP36+FP18+FP22+FP26+FP28+FP38+FP32+FP42+FP44+FP48+FP50+FP52+FP54+FP56</f>
        <v>6298.0176</v>
      </c>
      <c r="FQ4" s="375">
        <v>7876.7121</v>
      </c>
      <c r="FR4" s="375">
        <v>6406.8124</v>
      </c>
      <c r="FS4" s="375">
        <v>5510.2848</v>
      </c>
      <c r="FT4" s="375">
        <v>5499.6513</v>
      </c>
      <c r="FU4" s="375">
        <v>5341.6779</v>
      </c>
      <c r="FV4" s="375">
        <v>5406.5455</v>
      </c>
      <c r="FW4" s="375">
        <v>5326.3238</v>
      </c>
      <c r="FX4" s="375">
        <v>5515.7641</v>
      </c>
      <c r="FY4" s="375">
        <v>5863.3163</v>
      </c>
      <c r="FZ4" s="376">
        <f>(FY4-HA4)/HA4</f>
        <v>-0.135367919297062</v>
      </c>
      <c r="GA4" s="375">
        <f>GA8+GA10+GA14+GA36+GA18+GA22+GA26+GA28+GA38+GA32+GA42+GA44+GA48+GA50+GA52+GA54+GA56</f>
        <v>5170.6508</v>
      </c>
      <c r="GB4" s="376">
        <f>(GA4-HC4)/HC4</f>
        <v>-0.135959178825383</v>
      </c>
      <c r="GC4" s="375">
        <f>GC8+GC10+GC14+GC36+GC18+GC22+GC26+GC28+GC38+GC32+GC42+GC44+GC48+GC50+GC52+GC54+GC56</f>
        <v>5368.6079</v>
      </c>
      <c r="GD4" s="376">
        <f>(GC4-HE4)/HE4</f>
        <v>-0.152569190936333</v>
      </c>
      <c r="GE4" s="375">
        <f>FP4+FQ4+FR4+FS4+FT4+FU4+FV4+FW4+FX4+FY4+GA4+GC4</f>
        <v>69584.3645</v>
      </c>
      <c r="GF4" s="377">
        <f>(GE4-HG4)/HG4</f>
        <v>-0.140820283510831</v>
      </c>
      <c r="GG4" s="317"/>
      <c r="GH4" s="378" t="s">
        <v>207</v>
      </c>
      <c r="GI4" s="379">
        <f>GI8+GI10+GI14+GI36+GI18+GI22+GI26+GI28+GI38+GI32+GI42+GI44+GI48+GI50+GI52+GI54+GI56</f>
        <v>6904.8885</v>
      </c>
      <c r="GJ4" s="376">
        <f>(GI4-HL4)/HL4</f>
        <v>-0.0698736727957256</v>
      </c>
      <c r="GK4" s="375">
        <f>GK8+GK10+GK14+GK36+GK18+GK22+GK26+GK28+GK38+GK32+GK42+GK44+GK48+GK50+GK52+GK54+GK56</f>
        <v>8810.2863</v>
      </c>
      <c r="GL4" s="376">
        <f>(GK4-HN4)/HN4</f>
        <v>-0.0971558474285596</v>
      </c>
      <c r="GM4" s="375">
        <f>GM8+GM10+GM14+GM36+GM18+GM22+GM26+GM28+GM38+GM32+GM42+GM44+GM48+GM50+GM52+GM54+GM56</f>
        <v>7469.6404</v>
      </c>
      <c r="GN4" s="376">
        <f>(GM4-HP4)/HP4</f>
        <v>-0.0580658363728881</v>
      </c>
      <c r="GO4" s="375">
        <f>GO8+GO10+GO14+GO36+GO18+GO22+GO26+GO28+GO38+GO32+GO42+GO44+GO48+GO50+GO52+GO54+GO56</f>
        <v>6445.2436</v>
      </c>
      <c r="GP4" s="376">
        <f>(GO4-HR4)/HR4</f>
        <v>-0.0437439382222287</v>
      </c>
      <c r="GQ4" s="375">
        <f>GQ8+GQ10+GQ14+GQ36+GQ18+GQ22+GQ26+GQ28+GQ38+GQ32+GQ42+GQ44+GQ48+GQ50+GQ52+GQ54+GQ56</f>
        <v>6467.6248</v>
      </c>
      <c r="GR4" s="376">
        <f>(GQ4-HT4)/HT4</f>
        <v>-0.0678010423851553</v>
      </c>
      <c r="GS4" s="375">
        <f>GS8+GS10+GS14+GS36+GS18+GS22+GS26+GS28+GS38+GS32+GS42+GS44+GS48+GS50+GS52+GS54+GS56</f>
        <v>6521.3565</v>
      </c>
      <c r="GT4" s="376">
        <f>(GS4-HW4)/HW4</f>
        <v>-0.0614464382112407</v>
      </c>
      <c r="GU4" s="375">
        <f>GU8+GU10+GU14+GU36+GU18+GU22+GU26+GU28+GU38+GU32+GU42+GU44+GU48+GU50+GU52+GU54+GU56</f>
        <v>6468.1192</v>
      </c>
      <c r="GV4" s="376">
        <f>(GU4-HY4)/HY4</f>
        <v>-0.0694402992284165</v>
      </c>
      <c r="GW4" s="375">
        <f>GW8+GW10+GW14+GW36+GW18+GW22+GW26+GW28+GW38+GW32+GW42+GW44+GW48+GW50+GW52+GW54+GW56</f>
        <v>6372.5114</v>
      </c>
      <c r="GX4" s="376">
        <f>(GW4-IA4)/IA4</f>
        <v>-0.0767385442111851</v>
      </c>
      <c r="GY4" s="375">
        <f>GY8+GY10+GY14+GY36+GY18+GY22+GY26+GY28+GY38+GY32+GY42+GY44+GY48+GY50+GY52+GY54+GY56</f>
        <v>6428.9208</v>
      </c>
      <c r="GZ4" s="376">
        <f>(GY4-IC4)/IC4</f>
        <v>-0.0571307488454</v>
      </c>
      <c r="HA4" s="375">
        <f>HA8+HA10+HA14+HA36+HA18+HA22+HA26+HA28+HA38+HA32+HA42+HA44+HA48+HA50+HA52+HA54+HA56</f>
        <v>6781.2847</v>
      </c>
      <c r="HB4" s="376">
        <f>(HA4-IE4)/IE4</f>
        <v>-0.061931851774468</v>
      </c>
      <c r="HC4" s="375">
        <f>HC8+HC10+HC14+HC36+HC18+HC22+HC26+HC28+HC38+HC32+HC42+HC44+HC48+HC50+HC52+HC54+HC56</f>
        <v>5984.2668</v>
      </c>
      <c r="HD4" s="376">
        <f>(HC4-IG4)/IG4</f>
        <v>-0.0495298956375081</v>
      </c>
      <c r="HE4" s="375">
        <f>HE8+HE10+HE14+HE36+HE18+HE22+HE26+HE28+HE38+HE32+HE42+HE44+HE48+HE50+HE52+HE54+HE56</f>
        <v>6335.1578</v>
      </c>
      <c r="HF4" s="376">
        <f>(HE4-II4)/II4</f>
        <v>-0.0734241241966287</v>
      </c>
      <c r="HG4" s="375">
        <f>GI4+GK4+GM4+GO4+GQ4+GS4+GU4+GW4+GY4+HA4+HC4+HE4</f>
        <v>80989.3008</v>
      </c>
      <c r="HH4" s="375">
        <f>HE4+HC4+HA4+GY4+GW4+GU4+GS4+GQ4+GO4+GM4+GK4+GI4</f>
        <v>80989.3008</v>
      </c>
      <c r="HI4" s="380">
        <f>(HH4-IK4)/IK4</f>
        <v>-0.0666445353064507</v>
      </c>
      <c r="HJ4" s="381" t="s">
        <v>208</v>
      </c>
      <c r="HK4" s="382"/>
      <c r="HL4" s="383">
        <f>HL8+HL10+HL14+HL36+HL18+HL22+HL26+HL28+HL38+HL32+HL42+HL44+HL48+HL50+HL52+HL54+HL56</f>
        <v>7423.6029</v>
      </c>
      <c r="HM4" s="384">
        <f>(HL4-IN4)/IN4</f>
        <v>0.00297737004482723</v>
      </c>
      <c r="HN4" s="385">
        <f>HN8+HN10+HN14+HN36+HN18+HN22+HN26+HN28+HN38+HN32+HN42+HN44+HN48+HN50+HN52+HN54+HN56</f>
        <v>9758.3689</v>
      </c>
      <c r="HO4" s="384">
        <f>(HN4-IP4)/IP4</f>
        <v>-0.0486937776416002</v>
      </c>
      <c r="HP4" s="385">
        <f>HP8+HP10+HP14+HP36+HP18+HP22+HP26+HP28+HP38+HP32+HP42+HP44+HP48+HP50+HP52+HP54+HP56</f>
        <v>7930.1088</v>
      </c>
      <c r="HQ4" s="373">
        <f>(HP4-IR4)/IR4</f>
        <v>-0.0312292111879251</v>
      </c>
      <c r="HR4" s="383">
        <f>HR8+HR10+HR14+HR36+HR18+HR22+HR26+HR28+HR38+HR32+HR42+HR44+HR48+HR50+HR52+HR54+HR56</f>
        <v>6740.0813</v>
      </c>
      <c r="HS4" s="386">
        <f>(HR4-IT4)/IT4</f>
        <v>-0.0300643610730382</v>
      </c>
      <c r="HT4" s="385">
        <f>HT8+HT10+HT14+HT36+HT18+HT22+HT26+HT28+HT38+HT32+HT42+HT44+HT48+HT50+HT52+HT54+HT56</f>
        <v>6938.0305</v>
      </c>
      <c r="HU4" s="387">
        <f>(HT4-IV4)/IV4</f>
        <v>-0.0193406017524637</v>
      </c>
      <c r="HV4" s="388">
        <f>HT4+HR4+HP4+HN4+HL4</f>
        <v>38790.1924</v>
      </c>
      <c r="HW4" s="383">
        <f>HW8+HW10+HW14+HW36+HW18+HW22+HW26+HW28+HW38+HW32+HW42+HW44+HW48+HW50+HW52+HW54+HW56</f>
        <v>6948.3051</v>
      </c>
      <c r="HX4" s="386">
        <f>(HW4-IX4)/IX4</f>
        <v>-0.0218565895253045</v>
      </c>
      <c r="HY4" s="385">
        <f>HY8+HY10+HY14+HY36+HY18+HY22+HY26+HY28+HY38+HY32+HY42+HY44+HY48+HY50+HY52+HY54+HY56</f>
        <v>6950.7837</v>
      </c>
      <c r="HZ4" s="386">
        <f>(HY4-IZ4)/IZ4</f>
        <v>-0.0147916116654004</v>
      </c>
      <c r="IA4" s="385">
        <f>IA8+IA10+IA14+IA36+IA18+IA22+IA26+IA28+IA38+IA32+IA42+IA44+IA48+IA50+IA52+IA54+IA56</f>
        <v>6902.1742</v>
      </c>
      <c r="IB4" s="386">
        <f>(IA4-JB4)/JB4</f>
        <v>-0.00579619728227665</v>
      </c>
      <c r="IC4" s="385">
        <f>IC8+IC10+IC14+IC36+IC18+IC22+IC26+IC28+IC38+IC32+IC42+IC44+IC48+IC50+IC52+IC54+IC56</f>
        <v>6818.4648</v>
      </c>
      <c r="ID4" s="389">
        <f>(IC4-JD4)/JD4</f>
        <v>-0.00370459859075154</v>
      </c>
      <c r="IE4" s="385">
        <f>IE8+IE10+IE14+IE36+IE18+IE22+IE26+IE28+IE38+IE32+IE42+IE44+IE48+IE50+IE52+IE54+IE56</f>
        <v>7228.9894</v>
      </c>
      <c r="IF4" s="390">
        <f>(IE4-JF4)/JF4</f>
        <v>-0.00486242542522425</v>
      </c>
      <c r="IG4" s="385">
        <f>IG8+IG10+IG14+IG36+IG18+IG22+IG26+IG28+IG38+IG32+IG42+IG44+IG48+IG50+IG52+IG54+IG56</f>
        <v>6296.1126</v>
      </c>
      <c r="IH4" s="390">
        <f>(IG4-JH4)/JH4</f>
        <v>0.00487970747246556</v>
      </c>
      <c r="II4" s="385">
        <f>II8+II10+II14+II36+II18+II22+II26+II28+II38+II32+II42+II44+II48+II50+II52+II54+II56</f>
        <v>6837.1711</v>
      </c>
      <c r="IJ4" s="309">
        <f>(II4-JJ4)/JJ4</f>
        <v>-0.00580204756320562</v>
      </c>
      <c r="IK4" s="391">
        <f>HL4+HN4+HP4+HR4+HT4+HW4+HY4+IA4+IC4+IE4+IG4+II4</f>
        <v>86772.1933</v>
      </c>
      <c r="IL4" s="104">
        <f>IK4/JL4-1</f>
        <v>-0.0164212753973274</v>
      </c>
      <c r="IM4" s="392"/>
      <c r="IN4" s="393">
        <v>7401.5657</v>
      </c>
      <c r="IO4" s="394">
        <f>IN4/JP4-1</f>
        <v>0.00219433354699339</v>
      </c>
      <c r="IP4" s="395">
        <v>10257.863</v>
      </c>
      <c r="IQ4" s="394">
        <f>IP4/JQ4-1</f>
        <v>0.00669388907381441</v>
      </c>
      <c r="IR4" s="395">
        <v>8185.7431</v>
      </c>
      <c r="IS4" s="394">
        <f>(IR4-JR4)/JR4</f>
        <v>-0.000122837949147755</v>
      </c>
      <c r="IT4" s="395">
        <v>6948.9985</v>
      </c>
      <c r="IU4" s="394">
        <f>(IT4-JS4)/JS4</f>
        <v>0.0327518493572662</v>
      </c>
      <c r="IV4" s="395">
        <v>7074.8626</v>
      </c>
      <c r="IW4" s="394">
        <f>(IV4-JT4)/JT4</f>
        <v>0.0316677609572725</v>
      </c>
      <c r="IX4" s="395">
        <v>7103.5648</v>
      </c>
      <c r="IY4" s="394">
        <f>(IX4-JU4)/JU4</f>
        <v>0.0233634791451866</v>
      </c>
      <c r="IZ4" s="395">
        <v>7055.1406</v>
      </c>
      <c r="JA4" s="394">
        <f>(IZ4-JV4)/JV4</f>
        <v>0.0101967198893125</v>
      </c>
      <c r="JB4" s="395">
        <v>6942.4138</v>
      </c>
      <c r="JC4" s="394">
        <f>(JB4-JW4)/JW4</f>
        <v>0.0179671304397214</v>
      </c>
      <c r="JD4" s="395">
        <v>6843.8184</v>
      </c>
      <c r="JE4" s="394">
        <f>(JD4-JX4)/JX4</f>
        <v>-0.00325499661221797</v>
      </c>
      <c r="JF4" s="395">
        <v>7264.31157329072</v>
      </c>
      <c r="JG4" s="394">
        <f>(JF4-JY4)/JY4</f>
        <v>-0.00210442887200888</v>
      </c>
      <c r="JH4" s="396">
        <v>6265.53860445283</v>
      </c>
      <c r="JI4" s="384">
        <f>(JH4-JZ4)/JZ4</f>
        <v>-0.0174251871942186</v>
      </c>
      <c r="JJ4" s="397">
        <f>JJ8+JJ10+JJ14+JJ36+JJ18+JJ22+JJ26+JJ28+JJ38+JJ32+JJ42+JJ44+JJ48+JJ50+JJ52+JJ54+JJ56</f>
        <v>6877.0722</v>
      </c>
      <c r="JK4" s="398">
        <f>(JJ4-KA4)/KA4</f>
        <v>-0.0627536758645054</v>
      </c>
      <c r="JL4" s="399">
        <f t="shared" ref="JL4:JL35" si="62">JJ4+JH4+JF4+JD4+JB4+IZ4+IX4+IV4+IT4+IR4+IP4+IN4</f>
        <v>88220.8928777436</v>
      </c>
      <c r="JM4" s="398">
        <f>JL4/JO4-1</f>
        <v>0.00304290201551605</v>
      </c>
      <c r="JN4" s="400"/>
      <c r="JO4" s="383">
        <f>SUM(JP4:KA4)</f>
        <v>87953.2597264507</v>
      </c>
      <c r="JP4" s="374">
        <v>7385.35975732788</v>
      </c>
      <c r="JQ4" s="374">
        <v>10189.6545825241</v>
      </c>
      <c r="JR4" s="374">
        <v>8186.74874342583</v>
      </c>
      <c r="JS4" s="374">
        <v>6728.62363240958</v>
      </c>
      <c r="JT4" s="374">
        <v>6857.69476157258</v>
      </c>
      <c r="JU4" s="374">
        <v>6941.38978453051</v>
      </c>
      <c r="JV4" s="374">
        <v>6983.9274480846</v>
      </c>
      <c r="JW4" s="374">
        <v>6819.88012422479</v>
      </c>
      <c r="JX4" s="374">
        <v>6866.1677527742</v>
      </c>
      <c r="JY4" s="374">
        <v>7279.63103902682</v>
      </c>
      <c r="JZ4" s="374">
        <v>6376.65297623632</v>
      </c>
      <c r="KA4" s="374">
        <v>7337.52912431354</v>
      </c>
    </row>
    <row r="5" s="285" customFormat="1" ht="33" hidden="1" customHeight="1" spans="1:287">
      <c r="A5" s="401"/>
      <c r="B5" s="141" t="s">
        <v>209</v>
      </c>
      <c r="C5" s="163">
        <f>C9+C11+C15+C37+C19+C23+C27+C29+C39+C33+C43+C45+C49+C51+C53+C55+C57</f>
        <v>91471.0814</v>
      </c>
      <c r="D5" s="359">
        <f t="shared" si="0"/>
        <v>-0.118590713389346</v>
      </c>
      <c r="E5" s="163">
        <f>E9+E11+E15+E37+E19+E23+E27+E29+E39+E33+E43+E45+E49+E51+E53+E55+E57</f>
        <v>110843.064818</v>
      </c>
      <c r="F5" s="359">
        <f t="shared" si="1"/>
        <v>-0.0138149892582627</v>
      </c>
      <c r="G5" s="163">
        <f>G9+G11+G15+G37+G19+G23+G27+G29+G39+G33+G43+G45+G49+G51+G53+G55+G57</f>
        <v>115505.520273</v>
      </c>
      <c r="H5" s="359">
        <f t="shared" si="2"/>
        <v>0.0202075740990877</v>
      </c>
      <c r="I5" s="163">
        <f>I9+I11+I15+I37+I19+I23+I27+I29+I39+I33+I43+I45+I49+I51+I53+I55+I57</f>
        <v>121466.090109</v>
      </c>
      <c r="J5" s="359">
        <f t="shared" si="3"/>
        <v>-0.0369579718746879</v>
      </c>
      <c r="K5" s="163">
        <f>K9+K11+K15+K37+K19+K23+K27+K29+K39+K33+K43+K45+K49+K51+K53+K55+K57</f>
        <v>121944.200395</v>
      </c>
      <c r="L5" s="359">
        <f t="shared" si="4"/>
        <v>0.0154038975781232</v>
      </c>
      <c r="M5" s="163">
        <f>M9+M11+M15+M37+M19+M23+M27+M29+M39+M33+M43+M45+M49+M51+M53+M55+M57</f>
        <v>112912.972275</v>
      </c>
      <c r="N5" s="359">
        <f t="shared" si="5"/>
        <v>0.0120279694419552</v>
      </c>
      <c r="O5" s="163">
        <f>O9+O11+O15+O37+O19+O23+O27+O29+O39+O33+O43+O45+O49+O51+O53+O55+O57</f>
        <v>113731.31412</v>
      </c>
      <c r="P5" s="359">
        <f t="shared" si="6"/>
        <v>-0.0166566655530825</v>
      </c>
      <c r="Q5" s="127"/>
      <c r="R5" s="127"/>
      <c r="S5" s="109">
        <f t="shared" si="7"/>
        <v>787874.24339</v>
      </c>
      <c r="T5" s="359">
        <f t="shared" si="8"/>
        <v>-0.142217677388926</v>
      </c>
      <c r="U5" s="359"/>
      <c r="V5" s="163">
        <f>V9+V11+V15+V37+V19+V23+V27+V29+V39+V33+V43+V45+V49+V51+V53+V55+V57</f>
        <v>103778.21381</v>
      </c>
      <c r="W5" s="359">
        <f t="shared" si="9"/>
        <v>0.182729441967362</v>
      </c>
      <c r="X5" s="163">
        <f>X9+X11+X15+X37+X19+X23+X27+X29+X39+X33+X43+X45+X49+X51+X53+X55+X57</f>
        <v>112395.81175</v>
      </c>
      <c r="Y5" s="402">
        <f t="shared" si="10"/>
        <v>0.101866076377529</v>
      </c>
      <c r="Z5" s="163">
        <f>Z9+Z11+Z15+Z37+Z19+Z23+Z27+Z29+Z39+Z33+Z43+Z45+Z49+Z51+Z53+Z55+Z57</f>
        <v>113217.6659</v>
      </c>
      <c r="AA5" s="402">
        <f t="shared" si="11"/>
        <v>0.120661756352596</v>
      </c>
      <c r="AB5" s="163">
        <f>AB9+AB11+AB15+AB37+AB19+AB23+AB27+AB29+AB39+AB33+AB43+AB45+AB49+AB51+AB53+AB55+AB57</f>
        <v>126127.506964</v>
      </c>
      <c r="AC5" s="402">
        <f t="shared" si="12"/>
        <v>0.109669325483287</v>
      </c>
      <c r="AD5" s="163">
        <f>AD9+AD11+AD15+AD37+AD19+AD23+AD27+AD29+AD39+AD33+AD43+AD45+AD49+AD51+AD53+AD55+AD57</f>
        <v>120094.2804</v>
      </c>
      <c r="AE5" s="402">
        <f t="shared" si="13"/>
        <v>0.0646012696213658</v>
      </c>
      <c r="AF5" s="163">
        <f>AF9+AF11+AF15+AF37+AF19+AF23+AF27+AF29+AF39+AF33+AF43+AF45+AF49+AF51+AF53+AF55+AF57</f>
        <v>111570.9997</v>
      </c>
      <c r="AG5" s="402">
        <f t="shared" si="14"/>
        <v>0.0853360260891394</v>
      </c>
      <c r="AH5" s="163">
        <f>AH9+AH11+AH15+AH37+AH19+AH23+AH27+AH29+AH39+AH33+AH43+AH45+AH49+AH51+AH53+AH55+AH57</f>
        <v>115657.7872</v>
      </c>
      <c r="AI5" s="402">
        <f t="shared" si="15"/>
        <v>0.0635823815878949</v>
      </c>
      <c r="AJ5" s="163">
        <f>AJ9+AJ11+AJ15+AJ37+AJ19+AJ23+AJ27+AJ29+AJ39+AJ33+AJ43+AJ45+AJ49+AJ51+AJ53+AJ55+AJ57</f>
        <v>115659.11</v>
      </c>
      <c r="AK5" s="402">
        <f t="shared" si="16"/>
        <v>0.0417686289270236</v>
      </c>
      <c r="AL5" s="163">
        <f>AL9+AL11+AL15+AL37+AL19+AL23+AL27+AL29+AL39+AL33+AL43+AL45+AL49+AL51+AL53+AL55+AL57</f>
        <v>110618.6519</v>
      </c>
      <c r="AM5" s="402">
        <f t="shared" si="17"/>
        <v>0.0481350053771268</v>
      </c>
      <c r="AN5" s="163">
        <f>AN9+AN11+AN15+AN37+AN19+AN23+AN27+AN29+AN39+AN33+AN43+AN45+AN49+AN51+AN53+AN55+AN57</f>
        <v>117451.749341</v>
      </c>
      <c r="AO5" s="402">
        <f t="shared" si="18"/>
        <v>-0.054160377829737</v>
      </c>
      <c r="AP5" s="163">
        <f>AP9+AP11+AP15+AP37+AP19+AP23+AP27+AP29+AP39+AP33+AP43+AP45+AP49+AP51+AP53+AP55+AP57</f>
        <v>111181.804692</v>
      </c>
      <c r="AQ5" s="402">
        <f t="shared" si="19"/>
        <v>-0.0188148630091605</v>
      </c>
      <c r="AR5" s="163">
        <f>AR9+AR11+AR15+AR37+AR19+AR23+AR27+AR29+AR39+AR33+AR43+AR45+AR49+AR51+AR53+AR55+AR57</f>
        <v>98094.606772</v>
      </c>
      <c r="AS5" s="402">
        <f t="shared" si="20"/>
        <v>0.0300557827688894</v>
      </c>
      <c r="AT5" s="107">
        <f t="shared" si="21"/>
        <v>1355848.188429</v>
      </c>
      <c r="AU5" s="359">
        <f t="shared" si="22"/>
        <v>0.06085415812465</v>
      </c>
      <c r="AV5" s="360"/>
      <c r="AW5" s="403">
        <f>AW9+AW11+AW15+AW37+AW19+AW23+AW27+AW29+AW39+AW33+AW43+AW45+AW49+AW51+AW53+AW55+AW57</f>
        <v>87744.6778</v>
      </c>
      <c r="AX5" s="404">
        <v>0.15100766529451</v>
      </c>
      <c r="AY5" s="403">
        <f>AY9+AY11+AY15+AY37+AY19+AY23+AY27+AY29+AY39+AY33+AY43+AY45+AY49+AY51+AY53+AY55+AY57</f>
        <v>102004.966084</v>
      </c>
      <c r="AZ5" s="405">
        <f t="shared" si="23"/>
        <v>0.100107267425007</v>
      </c>
      <c r="BA5" s="403">
        <f>BA9+BA11+BA15+BA37+BA19+BA23+BA27+BA29+BA39+BA33+BA43+BA45+BA49+BA51+BA53+BA55+BA57</f>
        <v>101027.5092</v>
      </c>
      <c r="BB5" s="405">
        <f t="shared" si="24"/>
        <v>0.00238100677637965</v>
      </c>
      <c r="BC5" s="403">
        <f>BC9+BC11+BC15+BC37+BC19+BC23+BC27+BC29+BC39+BC33+BC43+BC45+BC49+BC51+BC53+BC55+BC57</f>
        <v>113662.2452</v>
      </c>
      <c r="BD5" s="405">
        <f t="shared" si="25"/>
        <v>0.0810017325530483</v>
      </c>
      <c r="BE5" s="406">
        <f>BE9+BE11+BE15+BE37+BE19+BE23+BE27+BE29+BE39+BE33+BE43+BE45+BE49+BE51+BE53+BE55+BE57</f>
        <v>112806.816812</v>
      </c>
      <c r="BF5" s="405">
        <f t="shared" si="26"/>
        <v>0.0927211214119887</v>
      </c>
      <c r="BG5" s="403">
        <f>BG9+BG11+BG15+BG37+BG19+BG23+BG27+BG29+BG39+BG33+BG43+BG45+BG49+BG51+BG53+BG55+BG57</f>
        <v>102798.5776</v>
      </c>
      <c r="BH5" s="405">
        <f t="shared" si="27"/>
        <v>0.0264419846733275</v>
      </c>
      <c r="BI5" s="403">
        <f>BI9+BI11+BI15+BI37+BI19+BI23+BI27+BI29+BI39+BI33+BI43+BI45+BI49+BI51+BI53+BI55+BI57</f>
        <v>108743.609524</v>
      </c>
      <c r="BJ5" s="405">
        <f t="shared" si="28"/>
        <v>-0.0670089338917055</v>
      </c>
      <c r="BK5" s="163">
        <f>BK9+BK11+BK15+BK37+BK19+BK23+BK27+BK29+BK39+BK33+BK43+BK45+BK49+BK51+BK53+BK55+BK57</f>
        <v>111021.87836</v>
      </c>
      <c r="BL5" s="402">
        <f t="shared" si="29"/>
        <v>0.021883212357414</v>
      </c>
      <c r="BM5" s="163">
        <f>BM9+BM11+BM15+BM37+BM19+BM23+BM27+BM29+BM39+BM33+BM43+BM45+BM49+BM51+BM53+BM55+BM57</f>
        <v>105538.55308</v>
      </c>
      <c r="BN5" s="402">
        <f t="shared" si="30"/>
        <v>0.03860940587355</v>
      </c>
      <c r="BO5" s="163">
        <f>BO9+BO11+BO15+BO37+BO19+BO23+BO27+BO29+BO39+BO33+BO43+BO45+BO49+BO51+BO53+BO55+BO57</f>
        <v>124177.235324</v>
      </c>
      <c r="BP5" s="402">
        <f t="shared" si="31"/>
        <v>0.146862236638992</v>
      </c>
      <c r="BQ5" s="163">
        <f>BQ9+BQ11+BQ15+BQ37+BQ19+BQ23+BQ27+BQ29+BQ39+BQ33+BQ43+BQ45+BQ49+BQ51+BQ53+BQ55+BQ57</f>
        <v>113313.788092</v>
      </c>
      <c r="BR5" s="402">
        <f t="shared" si="32"/>
        <v>0.124150011546979</v>
      </c>
      <c r="BS5" s="163">
        <f>BS9+BS11+BS15+BS37+BS19+BS23+BS27+BS29+BS39+BS33+BS43+BS45+BS49+BS51+BS53+BS55+BS57</f>
        <v>95232.324708</v>
      </c>
      <c r="BT5" s="402">
        <f t="shared" si="33"/>
        <v>0.0936608024263423</v>
      </c>
      <c r="BU5" s="109">
        <f t="shared" si="34"/>
        <v>1278072.181784</v>
      </c>
      <c r="BV5" s="359">
        <f t="shared" si="35"/>
        <v>0.0639617209413343</v>
      </c>
      <c r="BW5" s="407">
        <f>BU5/BU4</f>
        <v>67.3858855761282</v>
      </c>
      <c r="BX5" s="163">
        <f>BX9+BX11+BX15+BX37+BX19+BX23+BX27+BX29+BX39+BX33+BX43+BX45+BX49+BX51+BX53+BX55+BX57</f>
        <v>76232.9222</v>
      </c>
      <c r="BY5" s="402">
        <f t="shared" si="36"/>
        <v>-0.205576003580244</v>
      </c>
      <c r="BZ5" s="163">
        <f>BZ9+BZ11+BZ15+BZ37+BZ19+BZ23+BZ27+BZ29+BZ39+BZ33+BZ43+BZ45+BZ49+BZ51+BZ53+BZ55+BZ57</f>
        <v>92722.7454126</v>
      </c>
      <c r="CA5" s="359">
        <f t="shared" si="37"/>
        <v>-0.140645200381868</v>
      </c>
      <c r="CB5" s="109">
        <f>SUM(CB9,CB11,CB19,CB15,CB37,CB23,CB27,CB29,CB39,CB33,CB43,CB45,CB49,CB53,CB51,CB55,CB57)</f>
        <v>100787.5334</v>
      </c>
      <c r="CC5" s="359">
        <f t="shared" si="38"/>
        <v>0.244634454424184</v>
      </c>
      <c r="CD5" s="109">
        <v>105145.2942</v>
      </c>
      <c r="CE5" s="359">
        <v>0.524638736568044</v>
      </c>
      <c r="CF5" s="109">
        <f>SUM(CF9,CF11,CF19,CF15,CF37,CF23,CF27,CF29,CF39,CF33,CF43,CF45,CF49,CF53,CF51,CF55,CF57)</f>
        <v>103234.7729</v>
      </c>
      <c r="CG5" s="359">
        <f t="shared" si="39"/>
        <v>0.355244122821047</v>
      </c>
      <c r="CH5" s="109">
        <f>SUM(CH9,CH11,CH19,CH15,CH37,CH23,CH27,CH29,CH39,CH33,CH43,CH45,CH49,CH53,CH51,CH55,CH57)</f>
        <v>100150.4022</v>
      </c>
      <c r="CI5" s="359">
        <f t="shared" si="40"/>
        <v>0.144790356849295</v>
      </c>
      <c r="CJ5" s="109">
        <f>SUM(CJ9,CJ11,CJ19,CJ15,CJ37,CJ23,CJ27,CJ29,CJ39,CJ33,CJ43,CJ45,CJ49,CJ53,CJ51,CJ55,CJ57)</f>
        <v>116553.7522</v>
      </c>
      <c r="CK5" s="359">
        <f t="shared" si="41"/>
        <v>0.166409341365137</v>
      </c>
      <c r="CL5" s="109">
        <f>SUM(CL9,CL11,CL19,CL15,CL37,CL23,CL27,CL29,CL39,CL33,CL43,CL45,CL49,CL53,CL51,CL55,CL57)</f>
        <v>108644.3901</v>
      </c>
      <c r="CM5" s="359">
        <f t="shared" si="42"/>
        <v>0.21777065014292</v>
      </c>
      <c r="CN5" s="109">
        <f>SUM(CN9,CN11,CN19,CN15,CN37,CN23,CN27,CN29,CN39,CN33,CN43,CN45,CN49,CN53,CN51,CN55,CN57)</f>
        <v>101615.2487</v>
      </c>
      <c r="CO5" s="359">
        <f t="shared" si="43"/>
        <v>0.0844265836259435</v>
      </c>
      <c r="CP5" s="109">
        <f>SUM(CP9,CP11,CP19,CP15,CP37,CP23,CP27,CP29,CP39,CP33,CP43,CP45,CP49,CP53,CP51,CP55,CP57)</f>
        <v>108275.6336</v>
      </c>
      <c r="CQ5" s="359">
        <f t="shared" si="44"/>
        <v>0.681495630976561</v>
      </c>
      <c r="CR5" s="109">
        <f>SUM(CR9,CR11,CR19,CR15,CR37,CR23,CR27,CR29,CR39,CR33,CR43,CR45,CR49,CR53,CR51,CR55,CR57)</f>
        <v>100799.5258</v>
      </c>
      <c r="CS5" s="359">
        <f t="shared" si="45"/>
        <v>1.05078216670826</v>
      </c>
      <c r="CT5" s="109">
        <f>SUM(CT9,CT11,CT19,CT15,CT37,CT23,CT27,CT29,CT39,CT33,CT43,CT45,CT49,CT53,CT51,CT55,CT57)</f>
        <v>87076.6553</v>
      </c>
      <c r="CU5" s="359">
        <f t="shared" si="46"/>
        <v>0.793827589461003</v>
      </c>
      <c r="CV5" s="109">
        <f t="shared" si="47"/>
        <v>1201238.8760126</v>
      </c>
      <c r="CW5" s="359">
        <f t="shared" si="48"/>
        <v>0.248183730603696</v>
      </c>
      <c r="CX5" s="408">
        <f t="shared" si="49"/>
        <v>-0.136140228746989</v>
      </c>
      <c r="CY5" s="408"/>
      <c r="CZ5" s="409">
        <v>95959.99434</v>
      </c>
      <c r="DA5" s="163">
        <v>107898.09454</v>
      </c>
      <c r="DB5" s="163">
        <v>80977.618</v>
      </c>
      <c r="DC5" s="163">
        <v>68964.07108</v>
      </c>
      <c r="DD5" s="163">
        <v>76174.30038</v>
      </c>
      <c r="DE5" s="163">
        <v>87483.61794</v>
      </c>
      <c r="DF5" s="163">
        <v>99925.25614</v>
      </c>
      <c r="DG5" s="163">
        <v>89215.80602</v>
      </c>
      <c r="DH5" s="163">
        <v>93704.1292</v>
      </c>
      <c r="DI5" s="163">
        <v>64392.4561</v>
      </c>
      <c r="DJ5" s="163">
        <v>49151.7468</v>
      </c>
      <c r="DK5" s="163">
        <v>48542.3771</v>
      </c>
      <c r="DL5" s="109">
        <v>962389.46764</v>
      </c>
      <c r="DM5" s="410">
        <v>-0.251671980641173</v>
      </c>
      <c r="DN5" s="411"/>
      <c r="DO5" s="412">
        <f>DO9+DO11+DO15+DO37+DO19+DO23+DO27+DO29+DO39+DO33+DO43+DO45+DO49+DO51+DO53+DO55+DO57</f>
        <v>102498.2281</v>
      </c>
      <c r="DP5" s="87">
        <f>(DO5-DX5)/DX5</f>
        <v>-0.233234545853398</v>
      </c>
      <c r="DQ5" s="93">
        <f>DQ9+DQ11+DQ15+DQ37+DQ19+DQ23+DQ27+DQ29+DQ39+DQ33+DQ43+DQ45+DQ49+DQ51+DQ53+DQ55+DQ57</f>
        <v>109132.1284</v>
      </c>
      <c r="DR5" s="104"/>
      <c r="DS5" s="93">
        <f>DS9+DS11+DS15+DS37+DS19+DS23+DS27+DS29+DS39+DS33+DS43+DS45+DS49+DS51+DS53+DS55+DS57</f>
        <v>121229.1178</v>
      </c>
      <c r="DT5" s="104">
        <f t="shared" si="50"/>
        <v>2.96318080491281</v>
      </c>
      <c r="DU5" s="103"/>
      <c r="DV5" s="93">
        <f>DV9+DV11+DV15+DV37+DV19+DV23+DV27+DV29+DV39+DV33+DV43+DV45+DV49+DV51+DV53+DV55+DV57</f>
        <v>132411.9805</v>
      </c>
      <c r="DW5" s="104">
        <f t="shared" si="51"/>
        <v>0.67188507929065</v>
      </c>
      <c r="DX5" s="93">
        <f>DX9+DX11+DX15+DX37+DX19+DX23+DX27+DX29+DX39+DX33+DX43+DX45+DX49+DX51+DX53+DX55+DX57</f>
        <v>133676.1164</v>
      </c>
      <c r="DY5" s="104">
        <f t="shared" si="52"/>
        <v>0.652000071554147</v>
      </c>
      <c r="DZ5" s="93">
        <f>DZ9+DZ11+DZ15+DZ37+DZ19+DZ23+DZ27+DZ29+DZ39+DZ33+DZ43+DZ45+DZ49+DZ51+DZ53+DZ55+DZ57</f>
        <v>117476.9914</v>
      </c>
      <c r="EA5" s="104">
        <f t="shared" si="53"/>
        <v>0.264562880972174</v>
      </c>
      <c r="EB5" s="93">
        <f>EB9+EB11+EB15+EB37+EB19+EB23+EB27+EB29+EB39+EB33+EB43+EB45+EB49+EB51+EB53+EB55+EB57</f>
        <v>121203.449</v>
      </c>
      <c r="EC5" s="104">
        <f t="shared" si="54"/>
        <v>0.241662039993684</v>
      </c>
      <c r="ED5" s="93">
        <f>ED9+ED11+ED15+ED37+ED19+ED23+ED27+ED29+ED39+ED33+ED43+ED45+ED49+ED51+ED53+ED55+ED57</f>
        <v>67326.3311</v>
      </c>
      <c r="EE5" s="104">
        <f t="shared" si="55"/>
        <v>-0.448113842260349</v>
      </c>
      <c r="EF5" s="93">
        <f>EF9+EF11+EF15+EF37+EF19+EF23+EF27+EF29+EF39+EF33+EF43+EF45+EF49+EF51+EF53+EF55+EF57</f>
        <v>93602.6346</v>
      </c>
      <c r="EG5" s="104">
        <f t="shared" si="56"/>
        <v>-0.288636632048261</v>
      </c>
      <c r="EH5" s="93">
        <f>EH9+EH11+EH15+EH37+EH19+EH23+EH27+EH29+EH39+EH33+EH43+EH45+EH49+EH51+EH53+EH55+EH57</f>
        <v>104645.5504</v>
      </c>
      <c r="EI5" s="104">
        <f t="shared" si="57"/>
        <v>-0.277751471583386</v>
      </c>
      <c r="EJ5" s="93">
        <f>EJ9+EJ11+EJ15+EJ37+EJ19+EJ23+EJ27+EJ29+EJ39+EJ33+EJ43+EJ45+EJ49+EJ51+EJ53+EJ55+EJ57</f>
        <v>92614.0055</v>
      </c>
      <c r="EK5" s="104">
        <f t="shared" si="58"/>
        <v>-0.319953348335464</v>
      </c>
      <c r="EL5" s="93">
        <f>EL9+EL11+EL15+EL37+EL19+EL23+EL27+EL29+EL39+EL33+EL43+EL45+EL49+EL51+EL53+EL55+EL57</f>
        <v>90236.4312</v>
      </c>
      <c r="EM5" s="104">
        <f t="shared" si="59"/>
        <v>-0.212079134140892</v>
      </c>
      <c r="EN5" s="93">
        <f>EN9+EN11+EN15+EN37+EN19+EN23+EN27+EN29+EN39+EN33+EN43+EN45+EN49+EN51+EN53+EN55+EN57</f>
        <v>1286052.9644</v>
      </c>
      <c r="EO5" s="104">
        <f t="shared" si="60"/>
        <v>-0.0227655309708239</v>
      </c>
      <c r="EP5" s="103">
        <f>EP9+EP11+EP15+EP37+EP19+EP23+EP27+EP29+EP39+EP33+EP43+EP45+EP49+EP51+EP53+EP55+EP57</f>
        <v>285617.524</v>
      </c>
      <c r="EQ5" s="104">
        <f>(EP5-FP5)/FP5</f>
        <v>-0.10762745105077</v>
      </c>
      <c r="ER5" s="103">
        <f>ER9+ER11+ER15+ER37+ER19+ER23+ER27+ER29+ER39+ER33+ER43+ER45+ER49+ER51+ER53+ER55+ER57</f>
        <v>0</v>
      </c>
      <c r="ES5" s="104">
        <f>(ER5-FQ5)/FQ5</f>
        <v>-1</v>
      </c>
      <c r="ET5" s="103">
        <f>ET9+ET11+ET15+ET37+ET19+ET23+ET27+ET29+ET39+ET33+ET43+ET45+ET49+ET51+ET53+ET55+ET57</f>
        <v>30588.8436</v>
      </c>
      <c r="EU5" s="104">
        <f>(ET5-FR5)/FR5</f>
        <v>-0.910850066948856</v>
      </c>
      <c r="EV5" s="103">
        <f>EV9+EV11+EV15+EV37+EV19+EV23+EV27+EV29+EV39+EV33+EV43+EV45+EV49+EV51+EV53+EV55+EV57</f>
        <v>79199.2118</v>
      </c>
      <c r="EW5" s="104">
        <f>(EV5-FS5)/FS5</f>
        <v>-0.737941766280418</v>
      </c>
      <c r="EX5" s="103">
        <f>EX9+EX11+EX15+EX37+EX19+EX23+EX27+EX29+EX39+EX33+EX43+EX45+EX49+EX51+EX53+EX55+EX57</f>
        <v>80917.7425</v>
      </c>
      <c r="EY5" s="104">
        <f>(EX5-FT5)/FT5</f>
        <v>-0.749311346383234</v>
      </c>
      <c r="EZ5" s="103">
        <f>EZ9+EZ11+EZ15+EZ37+EZ19+EZ23+EZ27+EZ29+EZ39+EZ33+EZ43+EZ45+EZ49+EZ51+EZ53+EZ55+EZ57</f>
        <v>92899.2881</v>
      </c>
      <c r="FA5" s="104">
        <f>(EZ5-FU5)/FU5</f>
        <v>-0.688297963935324</v>
      </c>
      <c r="FB5" s="103">
        <f>FB9+FB11+FB15+FB37+FB19+FB23+FB27+FB29+FB39+FB33+FB43+FB45+FB49+FB51+FB53+FB55+FB57</f>
        <v>97613.8797</v>
      </c>
      <c r="FC5" s="104">
        <f>(FB5-FV5)/FV5</f>
        <v>-0.692051321177222</v>
      </c>
      <c r="FD5" s="103">
        <f>FD9+FD11+FD15+FD37+FD19+FD23+FD27+FD29+FD39+FD33+FD43+FD45+FD49+FD51+FD53+FD55+FD57</f>
        <v>121993.1505</v>
      </c>
      <c r="FE5" s="104">
        <f>(FD5-FW5)/FW5</f>
        <v>-0.611553499512938</v>
      </c>
      <c r="FF5" s="103">
        <f>FF9+FF11+FF15+FF37+FF19+FF23+FF27+FF29+FF39+FF33+FF43+FF45+FF49+FF51+FF53+FF55+FF57</f>
        <v>131582.028</v>
      </c>
      <c r="FG5" s="104">
        <f>(FF5-FX5)/FX5</f>
        <v>-0.604772896197844</v>
      </c>
      <c r="FH5" s="103">
        <f>FH9+FH11+FH15+FH37+FH19+FH23+FH27+FH29+FH39+FH33+FH43+FH45+FH49+FH51+FH53+FH55+FH57</f>
        <v>144888.5616</v>
      </c>
      <c r="FI5" s="104">
        <f>(FH5-FY5)/FY5</f>
        <v>-0.564678831961915</v>
      </c>
      <c r="FJ5" s="103">
        <f>FJ9+FJ11+FJ15+FJ37+FJ19+FJ23+FJ27+FJ29+FJ39+FJ33+FJ43+FJ45+FJ49+FJ51+FJ53+FJ55+FJ57</f>
        <v>136187.7237</v>
      </c>
      <c r="FK5" s="104">
        <f>(FJ5-GA5)/GA5</f>
        <v>-0.530377451099637</v>
      </c>
      <c r="FL5" s="103">
        <f>FL9+FL11+FL15+FL37+FL19+FL23+FL27+FL29+FL39+FL33+FL43+FL45+FL49+FL51+FL53+FL55+FL57</f>
        <v>114524.7386</v>
      </c>
      <c r="FM5" s="104">
        <f>(FL5-GC5)/GC5</f>
        <v>-0.675577582693327</v>
      </c>
      <c r="FN5" s="103">
        <v>1316012.6921</v>
      </c>
      <c r="FO5" s="104">
        <f>(FN5-(FP5+FQ5+FR5+FS5+FT5+FU5+FV5+FW5+FX5+FY5+GA5+GC5))/(FP5+FQ5+FR5+FS5+FT5+FU5+FV5+FW5+FX5+FY5+GA5+GC5)</f>
        <v>-0.664361621464649</v>
      </c>
      <c r="FP5" s="103">
        <f t="shared" ref="FP5:FY5" si="63">FP9+FP11+FP15+FP37+FP19+FP23+FP27+FP29+FP39+FP33+FP43+FP45+FP49+FP51+FP53+FP55+FP57</f>
        <v>320065.3408</v>
      </c>
      <c r="FQ5" s="103">
        <f t="shared" si="63"/>
        <v>394902.5146</v>
      </c>
      <c r="FR5" s="103">
        <f t="shared" si="63"/>
        <v>343116.8432</v>
      </c>
      <c r="FS5" s="103">
        <f t="shared" si="63"/>
        <v>302219.8947</v>
      </c>
      <c r="FT5" s="103">
        <f t="shared" si="63"/>
        <v>322781.8305</v>
      </c>
      <c r="FU5" s="103">
        <f t="shared" si="63"/>
        <v>298038.7593</v>
      </c>
      <c r="FV5" s="103">
        <f t="shared" si="63"/>
        <v>316980.9985</v>
      </c>
      <c r="FW5" s="103">
        <f t="shared" si="63"/>
        <v>314053.9311</v>
      </c>
      <c r="FX5" s="103">
        <f t="shared" si="63"/>
        <v>332927.6427</v>
      </c>
      <c r="FY5" s="103">
        <f t="shared" si="63"/>
        <v>332831.4179</v>
      </c>
      <c r="FZ5" s="413">
        <f>(FY5-HA5)/HA5</f>
        <v>-0.135003953499528</v>
      </c>
      <c r="GA5" s="103">
        <f>GA9+GA11+GA15+GA37+GA19+GA23+GA27+GA29+GA39+GA33+GA43+GA45+GA49+GA51+GA53+GA55+GA57</f>
        <v>289994.0048</v>
      </c>
      <c r="GB5" s="413">
        <f>(GA5-HC5)/HC5</f>
        <v>-0.140109465035282</v>
      </c>
      <c r="GC5" s="103">
        <f>GC9+GC11+GC15+GC37+GC19+GC23+GC27+GC29+GC39+GC33+GC43+GC45+GC49+GC51+GC53+GC55+GC57</f>
        <v>353011.1746</v>
      </c>
      <c r="GD5" s="413">
        <f>(GC5-HE5)/HE5</f>
        <v>-0.160003242979664</v>
      </c>
      <c r="GE5" s="414">
        <f>FP5+FQ5+FR5+FS5+FT5+FU5+FV5+FW5+FX5+FY5+GA5+GC5</f>
        <v>3920924.3527</v>
      </c>
      <c r="GF5" s="394">
        <f>(GE5-HG5)/HG5</f>
        <v>-0.135290856082262</v>
      </c>
      <c r="GG5" s="415"/>
      <c r="GH5" s="416">
        <v>56.3477784251374</v>
      </c>
      <c r="GI5" s="416">
        <v>332918.1087</v>
      </c>
      <c r="GJ5" s="104">
        <f>(GI5-HL5)/HL5</f>
        <v>-0.0803300471668697</v>
      </c>
      <c r="GK5" s="103">
        <f>GK9+GK11+GK15+GK37+GK19+GK23+GK27+GK29+GK39+GK33+GK43+GK45+GK49+GK51+GK53+GK55+GK57</f>
        <v>433472.6378</v>
      </c>
      <c r="GL5" s="104">
        <f>(GK5-HN5)/HN5</f>
        <v>-0.138224599653026</v>
      </c>
      <c r="GM5" s="103">
        <f>GM9+GM11+GM15+GM37+GM19+GM23+GM27+GM29+GM39+GM33+GM43+GM45+GM49+GM51+GM53+GM55+GM57</f>
        <v>398323.448</v>
      </c>
      <c r="GN5" s="104">
        <f>(GM5-HP5)/HP5</f>
        <v>-0.00787204647503979</v>
      </c>
      <c r="GO5" s="103">
        <f>GO9+GO11+GO15+GO37+GO19+GO23+GO27+GO29+GO39+GO33+GO43+GO45+GO49+GO51+GO53+GO55+GO57</f>
        <v>349434.2543</v>
      </c>
      <c r="GP5" s="104">
        <f>(GO5-HR5)/HR5</f>
        <v>-0.0471676022048676</v>
      </c>
      <c r="GQ5" s="103">
        <f>GQ9+GQ11+GQ15+GQ37+GQ19+GQ23+GQ27+GQ29+GQ39+GQ33+GQ43+GQ45+GQ49+GQ51+GQ53+GQ55+GQ57</f>
        <v>376117.4867</v>
      </c>
      <c r="GR5" s="104">
        <f>(GQ5-HT5)/HT5</f>
        <v>-0.0704867169588348</v>
      </c>
      <c r="GS5" s="103">
        <f>GS9+GS11+GS15+GS37+GS19+GS23+GS27+GS29+GS39+GS33+GS43+GS45+GS49+GS51+GS53+GS55+GS57</f>
        <v>358955.1863</v>
      </c>
      <c r="GT5" s="104">
        <f>(GS5-HW5)/HW5</f>
        <v>-0.053798070446021</v>
      </c>
      <c r="GU5" s="103">
        <f>GU9+GU11+GU15+GU37+GU19+GU23+GU27+GU29+GU39+GU33+GU43+GU45+GU49+GU51+GU53+GU55+GU57</f>
        <v>379117.177</v>
      </c>
      <c r="GV5" s="104">
        <f>(GU5-HY5)/HY5</f>
        <v>-0.0402224233553038</v>
      </c>
      <c r="GW5" s="103">
        <f>GW9+GW11+GW15+GW37+GW19+GW23+GW27+GW29+GW39+GW33+GW43+GW45+GW49+GW51+GW53+GW55+GW57</f>
        <v>377373.667</v>
      </c>
      <c r="GX5" s="104">
        <f>(GW5-IA5)/IA5</f>
        <v>-0.0552890211301066</v>
      </c>
      <c r="GY5" s="103">
        <f>GY9+GY11+GY15+GY37+GY19+GY23+GY27+GY29+GY39+GY33+GY43+GY45+GY49+GY51+GY53+GY55+GY57</f>
        <v>386397.0012</v>
      </c>
      <c r="GZ5" s="104">
        <f>(GY5-IC5)/IC5</f>
        <v>-0.0535659879070277</v>
      </c>
      <c r="HA5" s="103">
        <f>HA9+HA11+HA15+HA37+HA19+HA23+HA27+HA29+HA39+HA33+HA43+HA45+HA49+HA51+HA53+HA55+HA57</f>
        <v>384777.9643</v>
      </c>
      <c r="HB5" s="104">
        <f>(HA5-IE5)/IE5</f>
        <v>-0.0294053981451905</v>
      </c>
      <c r="HC5" s="103">
        <f>HC9+HC11+HC15+HC37+HC19+HC23+HC27+HC29+HC39+HC33+HC43+HC45+HC49+HC51+HC53+HC55+HC57</f>
        <v>337245.2574</v>
      </c>
      <c r="HD5" s="104">
        <f>(HC5-IG5)/IG5</f>
        <v>-0.0262309732608655</v>
      </c>
      <c r="HE5" s="103">
        <f>HE9+HE11+HE15+HE37+HE19+HE23+HE27+HE29+HE39+HE33+HE43+HE45+HE49+HE51+HE53+HE55+HE57</f>
        <v>420253.0208</v>
      </c>
      <c r="HF5" s="104">
        <f>(HE5-II5)/II5</f>
        <v>-0.0864491022108358</v>
      </c>
      <c r="HG5" s="414">
        <f>GI5+GK5+GM5+GO5+GQ5+GS5+GU5+GW5+GY5+HA5+HC5+HE5</f>
        <v>4534385.2095</v>
      </c>
      <c r="HH5" s="103">
        <f>HE5+HC5+HA5+GY5+GW5+GU5+GS5+GQ5+GO5+GM5+GK5+GI5</f>
        <v>4534385.2095</v>
      </c>
      <c r="HI5" s="418">
        <f>(HH5-IK5)/IK5</f>
        <v>-0.0597894537642748</v>
      </c>
      <c r="HJ5" s="419" t="s">
        <v>210</v>
      </c>
      <c r="HK5" s="420"/>
      <c r="HL5" s="417">
        <f>HL9+HL11+HL15+HL37+HL19+HL23+HL27+HL29+HL39+HL33+HL43+HL45+HL49+HL51+HL53+HL55+HL57</f>
        <v>361997.3749</v>
      </c>
      <c r="HM5" s="394">
        <f>(HL5-IN5)/IN5</f>
        <v>-0.00533070960972442</v>
      </c>
      <c r="HN5" s="421">
        <f>HN9+HN11+HN15+HN37+HN19+HN23+HN27+HN29+HN39+HN33+HN43+HN45+HN49+HN51+HN53+HN55+HN57</f>
        <v>502999.5491</v>
      </c>
      <c r="HO5" s="394">
        <f>(HN5-IP5)/IP5</f>
        <v>-0.0572405589390477</v>
      </c>
      <c r="HP5" s="421">
        <f>HP9+HP11+HP15+HP37+HP19+HP23+HP27+HP29+HP39+HP33+HP43+HP45+HP49+HP51+HP53+HP55+HP57</f>
        <v>401483.9483</v>
      </c>
      <c r="HQ5" s="104">
        <f>(HP5-IR5)/IR5</f>
        <v>-0.0231081209466396</v>
      </c>
      <c r="HR5" s="417">
        <f>HR9+HR11+HR15+HR37+HR19+HR23+HR27+HR29+HR39+HR33+HR43+HR45+HR49+HR51+HR53+HR55+HR57</f>
        <v>366732.1295</v>
      </c>
      <c r="HS5" s="422">
        <f>(HR5-IT5)/IT5</f>
        <v>-0.0113060658784</v>
      </c>
      <c r="HT5" s="421">
        <f>HT9+HT11+HT15+HT37+HT19+HT23+HT27+HT29+HT39+HT33+HT43+HT45+HT49+HT51+HT53+HT55+HT57</f>
        <v>404639.1736</v>
      </c>
      <c r="HU5" s="423">
        <f>(HT5-IV5)/IV5</f>
        <v>-0.0192818722262763</v>
      </c>
      <c r="HV5" s="424">
        <f>HT5+HR5+HP5+HN5+HL5</f>
        <v>2037852.1754</v>
      </c>
      <c r="HW5" s="417">
        <f>HW9+HW11+HW15+HW37+HW19+HW23+HW27+HW29+HW39+HW33+HW43+HW45+HW49+HW51+HW53+HW55+HW57</f>
        <v>379364.251</v>
      </c>
      <c r="HX5" s="422">
        <f>(HW5-IX5)/IX5</f>
        <v>-0.0085258736773876</v>
      </c>
      <c r="HY5" s="421">
        <f>HY9+HY11+HY15+HY37+HY19+HY23+HY27+HY29+HY39+HY33+HY43+HY45+HY49+HY51+HY53+HY55+HY57</f>
        <v>395005.2452</v>
      </c>
      <c r="HZ5" s="422">
        <f>(HY5-IZ5)/IZ5</f>
        <v>-0.00716622901740201</v>
      </c>
      <c r="IA5" s="421">
        <f>IA9+IA11+IA15+IA37+IA19+IA23+IA27+IA29+IA39+IA33+IA43+IA45+IA49+IA51+IA53+IA55+IA57</f>
        <v>399459.3854</v>
      </c>
      <c r="IB5" s="422">
        <f>(IA5-JB5)/JB5</f>
        <v>0.00103726374841458</v>
      </c>
      <c r="IC5" s="421">
        <f>IC9+IC11+IC15+IC37+IC19+IC23+IC27+IC29+IC39+IC33+IC43+IC45+IC49+IC51+IC53+IC55+IC57</f>
        <v>408266.1826</v>
      </c>
      <c r="ID5" s="425">
        <f>(IC5-JD5)/JD5</f>
        <v>-0.00153637321667691</v>
      </c>
      <c r="IE5" s="421">
        <f>IE9+IE11+IE15+IE37+IE19+IE23+IE27+IE29+IE39+IE33+IE43+IE45+IE49+IE51+IE53+IE55+IE57</f>
        <v>396435.3022</v>
      </c>
      <c r="IF5" s="425">
        <f>(IE5-JF5)/JF5</f>
        <v>0.00168684816162374</v>
      </c>
      <c r="IG5" s="421">
        <f>IG9+IG11+IG15+IG37+IG19+IG23+IG27+IG29+IG39+IG33+IG43+IG45+IG49+IG51+IG53+IG55+IG57</f>
        <v>346329.8258</v>
      </c>
      <c r="IH5" s="309">
        <f>(IG5-JH5)/JH5</f>
        <v>0.0175459700035642</v>
      </c>
      <c r="II5" s="421">
        <f>II9+II11+II15+II37+II19+II23+II27+II29+II39+II33+II43+II45+II49+II51+II53+II55+II57</f>
        <v>460021.4633</v>
      </c>
      <c r="IJ5" s="309">
        <f>(II5-JJ5)/JJ5</f>
        <v>0.00717890833058674</v>
      </c>
      <c r="IK5" s="391">
        <f>HL5+HN5+HP5+HR5+HT5+HW5+HY5+IA5+IC5+IE5+IG5+II5</f>
        <v>4822733.8309</v>
      </c>
      <c r="IL5" s="104">
        <f>IK5/JL5-1</f>
        <v>-0.010369977064559</v>
      </c>
      <c r="IM5" s="392"/>
      <c r="IN5" s="393">
        <v>363937.4196</v>
      </c>
      <c r="IO5" s="394">
        <f>IN5/JP5-1</f>
        <v>0.0124590179372852</v>
      </c>
      <c r="IP5" s="395">
        <v>533539.6573</v>
      </c>
      <c r="IQ5" s="394">
        <f>IP5/JQ5-1</f>
        <v>0.00786946716825443</v>
      </c>
      <c r="IR5" s="395">
        <v>410980.9457</v>
      </c>
      <c r="IS5" s="394">
        <f>(IR5-JR5)/JR5</f>
        <v>0.0162717789437021</v>
      </c>
      <c r="IT5" s="395">
        <v>370925.8415</v>
      </c>
      <c r="IU5" s="394">
        <f>(IT5-JS5)/JS5</f>
        <v>0.0281316259091449</v>
      </c>
      <c r="IV5" s="395">
        <v>412594.7733</v>
      </c>
      <c r="IW5" s="394">
        <f>(IV5-JT5)/JT5</f>
        <v>0.017540668619539</v>
      </c>
      <c r="IX5" s="395">
        <v>382626.476</v>
      </c>
      <c r="IY5" s="394">
        <f>(IX5-JU5)/JU5</f>
        <v>0.0235790456296762</v>
      </c>
      <c r="IZ5" s="395">
        <v>397856.3751</v>
      </c>
      <c r="JA5" s="394">
        <f>(IZ5-JV5)/JV5</f>
        <v>-2.90490115037306e-5</v>
      </c>
      <c r="JB5" s="395">
        <v>399045.47</v>
      </c>
      <c r="JC5" s="394">
        <f>(JB5-JW5)/JW5</f>
        <v>0.0215625944475901</v>
      </c>
      <c r="JD5" s="395">
        <v>408894.397</v>
      </c>
      <c r="JE5" s="394">
        <f>(JD5-JX5)/JX5</f>
        <v>-0.00963255340790282</v>
      </c>
      <c r="JF5" s="395">
        <v>395767.702179149</v>
      </c>
      <c r="JG5" s="394">
        <f>(JF5-JY5)/JY5</f>
        <v>-0.0146613770477852</v>
      </c>
      <c r="JH5" s="426">
        <v>340357.916015123</v>
      </c>
      <c r="JI5" s="394">
        <f>(JH5-JZ5)/JZ5</f>
        <v>-0.0233162949484423</v>
      </c>
      <c r="JJ5" s="427">
        <f>JJ9+JJ11+JJ15+JJ37+JJ19+JJ23+JJ27+JJ29+JJ39+JJ33+JJ43+JJ45+JJ49+JJ51+JJ53+JJ55+JJ57</f>
        <v>456742.5504</v>
      </c>
      <c r="JK5" s="418">
        <f>(JJ5-KA5)/KA5</f>
        <v>-0.101075490885312</v>
      </c>
      <c r="JL5" s="399">
        <f t="shared" si="62"/>
        <v>4873269.52409427</v>
      </c>
      <c r="JM5" s="398">
        <f>JL5/JO5-1</f>
        <v>-0.00401310312716396</v>
      </c>
      <c r="JN5" s="400"/>
      <c r="JO5" s="383">
        <f>SUM(JP5:KA5)</f>
        <v>4892905.257484</v>
      </c>
      <c r="JP5" s="103">
        <v>359458.914536078</v>
      </c>
      <c r="JQ5" s="103">
        <v>529373.767814449</v>
      </c>
      <c r="JR5" s="103">
        <v>404400.628075265</v>
      </c>
      <c r="JS5" s="103">
        <v>360776.60890161</v>
      </c>
      <c r="JT5" s="103">
        <v>405482.341909491</v>
      </c>
      <c r="JU5" s="103">
        <v>373812.337829385</v>
      </c>
      <c r="JV5" s="103">
        <v>397867.932770156</v>
      </c>
      <c r="JW5" s="103">
        <v>390622.632591382</v>
      </c>
      <c r="JX5" s="103">
        <v>412871.402838437</v>
      </c>
      <c r="JY5" s="103">
        <v>401656.540158116</v>
      </c>
      <c r="JZ5" s="103">
        <v>348483.254358335</v>
      </c>
      <c r="KA5" s="103">
        <v>508098.895701293</v>
      </c>
    </row>
    <row r="6" s="285" customFormat="1" ht="33" customHeight="1" spans="1:287">
      <c r="A6" s="401"/>
      <c r="B6" s="141" t="s">
        <v>211</v>
      </c>
      <c r="C6" s="163">
        <f>C12+C24+C30+C34+C40+C46</f>
        <v>21.825</v>
      </c>
      <c r="D6" s="402">
        <f t="shared" si="0"/>
        <v>-0.571905213047035</v>
      </c>
      <c r="E6" s="163">
        <f>E12+E24+E30+E34+E40+E46</f>
        <v>21.064</v>
      </c>
      <c r="F6" s="359">
        <f t="shared" si="1"/>
        <v>-0.540068256106694</v>
      </c>
      <c r="G6" s="163">
        <f>G12+G24+G30+G34+G40+G46</f>
        <v>20.141</v>
      </c>
      <c r="H6" s="359">
        <f t="shared" si="2"/>
        <v>-0.517712528794533</v>
      </c>
      <c r="I6" s="163">
        <f>I12+I24+I30+I34+I40+I46</f>
        <v>19.5338</v>
      </c>
      <c r="J6" s="359">
        <f t="shared" si="3"/>
        <v>-0.489931168464921</v>
      </c>
      <c r="K6" s="163">
        <f>K12+K24+K30+K34+K40+K46</f>
        <v>19.8869</v>
      </c>
      <c r="L6" s="359">
        <f t="shared" si="4"/>
        <v>-0.486268654403046</v>
      </c>
      <c r="M6" s="163">
        <f>M12+M24+M30+M34+M40+M46</f>
        <v>20.2908</v>
      </c>
      <c r="N6" s="402">
        <f t="shared" si="5"/>
        <v>-0.453530367054755</v>
      </c>
      <c r="O6" s="163">
        <f>O12+O24+O30+O34+O40+O46</f>
        <v>18.9998</v>
      </c>
      <c r="P6" s="402">
        <f t="shared" si="6"/>
        <v>-0.447603153928455</v>
      </c>
      <c r="Q6" s="127"/>
      <c r="R6" s="127"/>
      <c r="S6" s="109">
        <f t="shared" si="7"/>
        <v>141.7413</v>
      </c>
      <c r="T6" s="359">
        <f t="shared" si="8"/>
        <v>-0.556558457160448</v>
      </c>
      <c r="U6" s="428"/>
      <c r="V6" s="163">
        <f>V12+V24+V30+V34+V40+V46</f>
        <v>50.9817</v>
      </c>
      <c r="W6" s="402">
        <f t="shared" si="9"/>
        <v>-0.27031819821264</v>
      </c>
      <c r="X6" s="163">
        <f>X12+X16+X20+X24+X30+X40+X34+X46</f>
        <v>45.7981</v>
      </c>
      <c r="Y6" s="402">
        <f t="shared" si="10"/>
        <v>-0.305072272447248</v>
      </c>
      <c r="Z6" s="163">
        <f>Z12+Z16+Z20+Z24+Z30+Z40+Z34+Z46</f>
        <v>41.7614</v>
      </c>
      <c r="AA6" s="402">
        <f t="shared" si="11"/>
        <v>-0.270185016575822</v>
      </c>
      <c r="AB6" s="163">
        <f>AB12+AB16+AB20+AB24+AB30+AB40+AB34+AB46</f>
        <v>38.2964</v>
      </c>
      <c r="AC6" s="402">
        <f t="shared" si="12"/>
        <v>-0.315833948187861</v>
      </c>
      <c r="AD6" s="163">
        <f>AD12+AD16+AD20+AD24+AD30+AD40+AD34+AD46</f>
        <v>38.7107</v>
      </c>
      <c r="AE6" s="402">
        <f t="shared" si="13"/>
        <v>-0.336969572403635</v>
      </c>
      <c r="AF6" s="163">
        <f>AF12+AF16+AF20+AF24+AF30+AF40+AF34+AF46</f>
        <v>37.1307</v>
      </c>
      <c r="AG6" s="402">
        <f t="shared" si="14"/>
        <v>-0.334615811939774</v>
      </c>
      <c r="AH6" s="163">
        <f>AH12+AH16+AH20+AH24+AH30+AH40+AH34+AH46</f>
        <v>34.3952</v>
      </c>
      <c r="AI6" s="402">
        <f t="shared" si="15"/>
        <v>-0.340107132442098</v>
      </c>
      <c r="AJ6" s="163">
        <f>AJ12+AJ16+AJ20+AJ24+AJ30+AJ40+AJ34+AJ46</f>
        <v>32.565</v>
      </c>
      <c r="AK6" s="402">
        <f t="shared" si="16"/>
        <v>-0.365361791525295</v>
      </c>
      <c r="AL6" s="163">
        <f>AL12+AL16+AL20+AL24+AL30+AL40+AL34+AL46</f>
        <v>33.0834</v>
      </c>
      <c r="AM6" s="402">
        <f t="shared" si="17"/>
        <v>-0.457382319173364</v>
      </c>
      <c r="AN6" s="163">
        <f>AN12+AN16+AN20+AN24+AN30+AN40+AN34+AN46</f>
        <v>29.0252</v>
      </c>
      <c r="AO6" s="402">
        <f t="shared" si="18"/>
        <v>-0.532884540797688</v>
      </c>
      <c r="AP6" s="163">
        <f>AP12+AP16+AP20+AP24+AP30+AP40+AP34+AP46</f>
        <v>28.5132</v>
      </c>
      <c r="AQ6" s="402">
        <f t="shared" si="19"/>
        <v>-0.524017634911917</v>
      </c>
      <c r="AR6" s="163">
        <f>AR12+AR16+AR20+AR24+AR30+AR40+AR34+AR46</f>
        <v>27.0206</v>
      </c>
      <c r="AS6" s="402">
        <f t="shared" si="20"/>
        <v>-0.512352441161449</v>
      </c>
      <c r="AT6" s="93">
        <f t="shared" si="21"/>
        <v>437.2816</v>
      </c>
      <c r="AU6" s="402">
        <f t="shared" si="22"/>
        <v>-0.379753936487138</v>
      </c>
      <c r="AV6" s="360"/>
      <c r="AW6" s="163">
        <v>69.8684</v>
      </c>
      <c r="AX6" s="402">
        <v>-0.219123256622293</v>
      </c>
      <c r="AY6" s="163">
        <f>AY12+AY16+AY20+AY24+AY30+AY40+AY34+AY46</f>
        <v>65.9034</v>
      </c>
      <c r="AZ6" s="402">
        <f t="shared" si="23"/>
        <v>-0.261678710354809</v>
      </c>
      <c r="BA6" s="163">
        <f>BA12+BA16+BA20+BA24+BA30+BA40+BA34+BA46</f>
        <v>57.2219</v>
      </c>
      <c r="BB6" s="402">
        <f t="shared" si="24"/>
        <v>-0.347573663465452</v>
      </c>
      <c r="BC6" s="163">
        <f>BC12+BC16+BC20+BC24+BC30+BC40+BC34+BC46</f>
        <v>55.9753</v>
      </c>
      <c r="BD6" s="402">
        <f t="shared" si="25"/>
        <v>-0.363739181634866</v>
      </c>
      <c r="BE6" s="163">
        <f>BE12+BE16+BE20+BE24+BE30+BE40+BE34+BE46</f>
        <v>58.3845</v>
      </c>
      <c r="BF6" s="402">
        <f t="shared" si="26"/>
        <v>-0.346561879894392</v>
      </c>
      <c r="BG6" s="163">
        <f>BG12+BG16+BG20+BG24+BG30+BG40+BG34+BG46</f>
        <v>55.8034</v>
      </c>
      <c r="BH6" s="402">
        <f t="shared" si="27"/>
        <v>-0.384917057040507</v>
      </c>
      <c r="BI6" s="163">
        <f>BI12+BI16+BI20+BI24+BI30+BI40+BI34+BI46</f>
        <v>52.1224</v>
      </c>
      <c r="BJ6" s="402">
        <f t="shared" si="28"/>
        <v>-0.429847820570038</v>
      </c>
      <c r="BK6" s="163">
        <f>BK12+BK16+BK20+BK24+BK30+BK40+BK34+BK46</f>
        <v>51.3127</v>
      </c>
      <c r="BL6" s="402">
        <f t="shared" si="29"/>
        <v>-0.351271155905448</v>
      </c>
      <c r="BM6" s="163">
        <f>BM12+BM16+BM20+BM24+BM30+BM40+BM34+BM46</f>
        <v>60.97</v>
      </c>
      <c r="BN6" s="402">
        <f t="shared" si="30"/>
        <v>-0.237040513061161</v>
      </c>
      <c r="BO6" s="163">
        <f>BO12+BO16+BO20+BO24+BO30+BO40+BO34+BO46</f>
        <v>62.1371</v>
      </c>
      <c r="BP6" s="402">
        <f t="shared" si="31"/>
        <v>-0.220678445247409</v>
      </c>
      <c r="BQ6" s="163">
        <f>BQ12+BQ16+BQ20+BQ24+BQ30+BQ40+BQ34+BQ46</f>
        <v>59.9039</v>
      </c>
      <c r="BR6" s="402">
        <f t="shared" si="32"/>
        <v>-0.134051392655384</v>
      </c>
      <c r="BS6" s="163">
        <f>BS12+BS16+BS20+BS24+BS30+BS40+BS34+BS46</f>
        <v>55.4101</v>
      </c>
      <c r="BT6" s="402">
        <f t="shared" si="33"/>
        <v>-0.13714012532546</v>
      </c>
      <c r="BU6" s="109">
        <f t="shared" si="34"/>
        <v>705.0131</v>
      </c>
      <c r="BV6" s="359">
        <f t="shared" si="35"/>
        <v>-0.293606847954575</v>
      </c>
      <c r="BW6" s="429"/>
      <c r="BX6" s="163">
        <f>BX12+BX16+BX20+BX24+BX30+BX40+BX34+BX46</f>
        <v>89.4743</v>
      </c>
      <c r="BY6" s="402">
        <f t="shared" si="36"/>
        <v>-0.0451073575600661</v>
      </c>
      <c r="BZ6" s="163">
        <f>BZ12+BZ16+BZ20+BZ24+BZ30+BZ40+BZ34+BZ46</f>
        <v>89.26114</v>
      </c>
      <c r="CA6" s="402">
        <f t="shared" si="37"/>
        <v>-0.0931040824019124</v>
      </c>
      <c r="CB6" s="163">
        <f>SUM(CB12,CB16,CB20,CB24,CB30,CB40,CB34,CB46)</f>
        <v>87.7063</v>
      </c>
      <c r="CC6" s="402">
        <f t="shared" si="38"/>
        <v>0.0102899335352999</v>
      </c>
      <c r="CD6" s="163">
        <f>SUM(CD12,CD16,CD20,CD24,CD30,CD40,CD34,CD46)</f>
        <v>87.9754</v>
      </c>
      <c r="CE6" s="402">
        <v>0.07984229893974</v>
      </c>
      <c r="CF6" s="163">
        <f>CF12+CF16+CF20+CF24+CF30+CF40+CF34+CF46</f>
        <v>89.3497</v>
      </c>
      <c r="CG6" s="402">
        <f t="shared" si="39"/>
        <v>0.021263147306988</v>
      </c>
      <c r="CH6" s="163">
        <f>CH12+CH16+CH20+CH24+CH30+CH40+CH34+CH46</f>
        <v>90.725</v>
      </c>
      <c r="CI6" s="402">
        <f t="shared" si="40"/>
        <v>0.0889787785673133</v>
      </c>
      <c r="CJ6" s="163">
        <f>CJ12+CJ16+CJ20+CJ24+CJ30+CJ40+CJ34+CJ46</f>
        <v>91.4184</v>
      </c>
      <c r="CK6" s="402">
        <f t="shared" si="41"/>
        <v>0.0761372799453799</v>
      </c>
      <c r="CL6" s="163">
        <f>CL12+CL16+CL20+CL24+CL30+CL40+CL34+CL46</f>
        <v>79.0973</v>
      </c>
      <c r="CM6" s="402">
        <f t="shared" si="42"/>
        <v>-0.0492210197843306</v>
      </c>
      <c r="CN6" s="163">
        <f>CN12+CN16+CN20+CN24+CN30+CN40+CN46+CN34</f>
        <v>79.9125</v>
      </c>
      <c r="CO6" s="402">
        <f t="shared" si="43"/>
        <v>-0.0432035574329298</v>
      </c>
      <c r="CP6" s="163">
        <f>CP12+CP16+CP20+CP24+CP30+CP40+CP46+CP34</f>
        <v>79.7323</v>
      </c>
      <c r="CQ6" s="402">
        <f t="shared" si="44"/>
        <v>-0.0645262342782053</v>
      </c>
      <c r="CR6" s="163">
        <f>CR12+CR16+CR20+CR24+CR30+CR40+CR46+CR34</f>
        <v>69.1772</v>
      </c>
      <c r="CS6" s="402">
        <f t="shared" si="45"/>
        <v>0.0266695557448626</v>
      </c>
      <c r="CT6" s="163">
        <f>CT12+CT16+CT20+CT24+CT30+CT40+CT46+CT34</f>
        <v>64.2168</v>
      </c>
      <c r="CU6" s="402">
        <f t="shared" si="46"/>
        <v>-0.0568752258060725</v>
      </c>
      <c r="CV6" s="163">
        <f t="shared" si="47"/>
        <v>998.04634</v>
      </c>
      <c r="CW6" s="402">
        <f t="shared" si="48"/>
        <v>-0.00550985730127618</v>
      </c>
      <c r="CX6" s="408">
        <f t="shared" si="49"/>
        <v>-0.0717057065044551</v>
      </c>
      <c r="CY6" s="408"/>
      <c r="CZ6" s="409">
        <v>93.7009</v>
      </c>
      <c r="DA6" s="163">
        <v>98.4249</v>
      </c>
      <c r="DB6" s="163">
        <v>86.813</v>
      </c>
      <c r="DC6" s="163">
        <v>81.4706</v>
      </c>
      <c r="DD6" s="163">
        <v>87.4894</v>
      </c>
      <c r="DE6" s="163">
        <v>83.312</v>
      </c>
      <c r="DF6" s="163">
        <v>84.9505</v>
      </c>
      <c r="DG6" s="163">
        <v>83.1921</v>
      </c>
      <c r="DH6" s="163">
        <v>83.5209</v>
      </c>
      <c r="DI6" s="163">
        <v>85.232</v>
      </c>
      <c r="DJ6" s="163">
        <v>67.3802</v>
      </c>
      <c r="DK6" s="163">
        <v>68.0894</v>
      </c>
      <c r="DL6" s="109">
        <v>1003.5759</v>
      </c>
      <c r="DM6" s="410">
        <v>-0.220430266643953</v>
      </c>
      <c r="DN6" s="411"/>
      <c r="DO6" s="412">
        <f>DO12+DO16+DO20+DO24+DO30+DO40+DO34+DO46</f>
        <v>122.9998</v>
      </c>
      <c r="DP6" s="87"/>
      <c r="DQ6" s="93">
        <f>DQ12+DQ16+DQ20+DQ24+DQ30+DQ40+DQ34+DQ46</f>
        <v>136.7121</v>
      </c>
      <c r="DR6" s="104"/>
      <c r="DS6" s="93">
        <f>DS12+DS16+DS20+DS24+DS30+DS40+DS34+DS46</f>
        <v>121.3927</v>
      </c>
      <c r="DT6" s="104" t="e">
        <f t="shared" si="50"/>
        <v>#DIV/0!</v>
      </c>
      <c r="DU6" s="103"/>
      <c r="DV6" s="93">
        <f>DV12+DV16+DV20+DV24+DV30+DV40+DV34+DV46</f>
        <v>111.0344</v>
      </c>
      <c r="DW6" s="104" t="e">
        <f t="shared" si="51"/>
        <v>#DIV/0!</v>
      </c>
      <c r="DX6" s="93">
        <f>DX12+DX16+DX20+DX24+DX30+DX40+DX34+DX46</f>
        <v>121.601</v>
      </c>
      <c r="DY6" s="104" t="e">
        <f t="shared" si="52"/>
        <v>#DIV/0!</v>
      </c>
      <c r="DZ6" s="93">
        <f>DZ12+DZ16+DZ20+DZ24+DZ30+DZ40+DZ34+DZ46</f>
        <v>109.9823</v>
      </c>
      <c r="EA6" s="104" t="e">
        <f t="shared" si="53"/>
        <v>#DIV/0!</v>
      </c>
      <c r="EB6" s="93">
        <f>EB12+EB16+EB20+EB24+EB30+EB40+EB34+EB46</f>
        <v>109.8008</v>
      </c>
      <c r="EC6" s="104" t="e">
        <f t="shared" si="54"/>
        <v>#DIV/0!</v>
      </c>
      <c r="ED6" s="93">
        <f>ED12+ED16+ED20+ED24+ED30+ED40+ED34+ED46</f>
        <v>87.1102</v>
      </c>
      <c r="EE6" s="104" t="e">
        <f t="shared" si="55"/>
        <v>#DIV/0!</v>
      </c>
      <c r="EF6" s="93">
        <f>EF12+EF16+EF20+EF24+EF30+EF40+EF34+EF46</f>
        <v>95.1574</v>
      </c>
      <c r="EG6" s="104" t="e">
        <f t="shared" si="56"/>
        <v>#DIV/0!</v>
      </c>
      <c r="EH6" s="93">
        <f>EH12+EH16+EH20+EH24+EH30+EH40+EH34+EH46</f>
        <v>93.7887</v>
      </c>
      <c r="EI6" s="104" t="e">
        <f t="shared" si="57"/>
        <v>#DIV/0!</v>
      </c>
      <c r="EJ6" s="93">
        <f>EJ12+EJ16+EJ20+EJ24+EJ30+EJ40+EJ34+EJ46</f>
        <v>89.8158</v>
      </c>
      <c r="EK6" s="104" t="e">
        <f t="shared" si="58"/>
        <v>#DIV/0!</v>
      </c>
      <c r="EL6" s="93">
        <f>EL12+EL16+EL20+EL24+EL30+EL40+EL34+EL46</f>
        <v>87.9507</v>
      </c>
      <c r="EM6" s="104" t="e">
        <f t="shared" si="59"/>
        <v>#DIV/0!</v>
      </c>
      <c r="EN6" s="93">
        <f>EN12+EN16+EN20+EN24+EN30+EN40+EN34+EN46</f>
        <v>1287.3459</v>
      </c>
      <c t="e" r="EO6" s="104">
        <v>#DIV/0!</v>
      </c>
      <c r="EO6" s="96" t="e">
        <v>#DIV/0!</v>
      </c>
      <c r="EP6" s="104"/>
      <c r="FN6" s="432">
        <v>0</v>
      </c>
      <c r="FO6"/>
      <c r="FP6" s="431"/>
      <c r="JL6" s="399">
        <v>0</v>
      </c>
      <c r="JM6" s="398"/>
      <c r="JN6" s="400"/>
      <c r="JO6" s="445"/>
      <c r="JP6" s="435"/>
      <c r="JQ6" s="435"/>
      <c r="JR6" s="435"/>
      <c r="JS6" s="435"/>
      <c r="JT6" s="435"/>
      <c r="JU6" s="435"/>
      <c r="JV6" s="435"/>
      <c r="JW6" s="435"/>
      <c r="JX6" s="435"/>
      <c r="JY6" s="435"/>
      <c r="JZ6" s="435"/>
      <c r="KA6" s="435"/>
    </row>
    <row r="7" s="285" customFormat="1" ht="33" customHeight="1" spans="1:287">
      <c r="A7" s="28"/>
      <c r="B7" s="446" t="s">
        <v>212</v>
      </c>
      <c r="C7" s="163">
        <f>C13+C17+C21+C25+C31+C41+C35+C47</f>
        <v>584.2728</v>
      </c>
      <c r="D7" s="402">
        <f t="shared" si="0"/>
        <v>-0.594141094570805</v>
      </c>
      <c r="E7" s="163">
        <f>E13+E17+E21+E25+E31+E41+E35+E47</f>
        <v>527.405018</v>
      </c>
      <c r="F7" s="359">
        <f t="shared" si="1"/>
        <v>-0.551387756098461</v>
      </c>
      <c r="G7" s="163">
        <f>G13+G17+G21+G25+G31+G41+G35+G47</f>
        <v>498.893973</v>
      </c>
      <c r="H7" s="359">
        <f t="shared" si="2"/>
        <v>-0.536195784267169</v>
      </c>
      <c r="I7" s="163">
        <f>I13+I17+I21+I25+I31+I41+I35+I47</f>
        <v>484.204209</v>
      </c>
      <c r="J7" s="359">
        <f t="shared" si="3"/>
        <v>-0.511246948756971</v>
      </c>
      <c r="K7" s="163">
        <f>K13+K17+K21+K25+K31+K41+K35+K47</f>
        <v>493.894595</v>
      </c>
      <c r="L7" s="359">
        <f t="shared" si="4"/>
        <v>-0.507662128117107</v>
      </c>
      <c r="M7" s="163">
        <f>M13+M17+M21+M25+M31+M41+M35+M47</f>
        <v>496.603575</v>
      </c>
      <c r="N7" s="402">
        <f t="shared" si="5"/>
        <v>-0.475010949526673</v>
      </c>
      <c r="O7" s="163">
        <f>O13+O17+O21+O25+O31+O41+O35+O47</f>
        <v>458.40402</v>
      </c>
      <c r="P7" s="402">
        <f t="shared" si="6"/>
        <v>-0.482026488056262</v>
      </c>
      <c r="Q7" s="127"/>
      <c r="R7" s="127"/>
      <c r="S7" s="109">
        <f t="shared" si="7"/>
        <v>3543.67819</v>
      </c>
      <c r="T7" s="359">
        <f t="shared" si="8"/>
        <v>-0.574360836494308</v>
      </c>
      <c r="U7" s="428"/>
      <c r="V7" s="163">
        <v>1439.59586</v>
      </c>
      <c r="W7" s="402">
        <f t="shared" si="9"/>
        <v>-0.164648091038997</v>
      </c>
      <c r="X7" s="163">
        <v>1175.6367</v>
      </c>
      <c r="Y7" s="402">
        <f t="shared" si="10"/>
        <v>-0.281355372120605</v>
      </c>
      <c r="Z7" s="163">
        <f>Z13+Z17+Z21+Z25+Z31+Z41+Z35+Z47</f>
        <v>1075.6564</v>
      </c>
      <c r="AA7" s="402">
        <f t="shared" si="11"/>
        <v>-0.277149457037068</v>
      </c>
      <c r="AB7" s="163">
        <f>AB13+AB17+AB21+AB25+AB31+AB41+AB35+AB47</f>
        <v>990.692964</v>
      </c>
      <c r="AC7" s="402">
        <f t="shared" si="12"/>
        <v>-0.321862691518507</v>
      </c>
      <c r="AD7" s="163">
        <f>AD13+AD17+AD21+AD25+AD31+AD41+AD35+AD47</f>
        <v>1003.1619</v>
      </c>
      <c r="AE7" s="402">
        <f t="shared" si="13"/>
        <v>-0.32766354613584</v>
      </c>
      <c r="AF7" s="163">
        <f>AF13+AF17+AF21+AF25+AF31+AF41+AF35+AF47</f>
        <v>945.9313</v>
      </c>
      <c r="AG7" s="402">
        <f t="shared" si="14"/>
        <v>-0.324623219840612</v>
      </c>
      <c r="AH7" s="163">
        <f>AH13+AH17+AH21+AH25+AH31+AH41+AH35+AH47</f>
        <v>884.9951</v>
      </c>
      <c r="AI7" s="402">
        <f t="shared" si="15"/>
        <v>-0.304942075185415</v>
      </c>
      <c r="AJ7" s="163">
        <f>AJ13+AJ17+AJ21+AJ25+AJ31+AJ41+AJ35+AJ47</f>
        <v>809.8752</v>
      </c>
      <c r="AK7" s="402">
        <f t="shared" si="16"/>
        <v>-0.378235516090612</v>
      </c>
      <c r="AL7" s="163">
        <f>AL13+AL17+AL21+AL25+AL31+AL41+AL35+AL47</f>
        <v>832.0023</v>
      </c>
      <c r="AM7" s="402">
        <f t="shared" si="17"/>
        <v>-0.503775080283244</v>
      </c>
      <c r="AN7" s="163">
        <f>AN13+AN17+AN21+AN25+AN31+AN41+AN35+AN47</f>
        <v>721.564141</v>
      </c>
      <c r="AO7" s="402">
        <f t="shared" si="18"/>
        <v>-0.574772469984322</v>
      </c>
      <c r="AP7" s="163">
        <f>AP13+AP17+AP21+AP25+AP31+AP41+AP35+AP47</f>
        <v>737.074641</v>
      </c>
      <c r="AQ7" s="402">
        <f t="shared" si="19"/>
        <v>-0.53522953633206</v>
      </c>
      <c r="AR7" s="163">
        <f>AR13+AR17+AR21+AR25+AR31+AR41+AR35+AR47</f>
        <v>708.414172</v>
      </c>
      <c r="AS7" s="402">
        <f t="shared" si="20"/>
        <v>-0.498913484523493</v>
      </c>
      <c r="AT7" s="93">
        <f t="shared" si="21"/>
        <v>11324.600678</v>
      </c>
      <c r="AU7" s="402">
        <f t="shared" si="22"/>
        <v>-0.376051266692647</v>
      </c>
      <c r="AV7" s="360"/>
      <c r="AW7" s="163">
        <v>1723.3406</v>
      </c>
      <c r="AX7" s="402">
        <v>-0.225322149249974</v>
      </c>
      <c r="AY7" s="163">
        <f>AY13+AY17+AY21+AY25+AY31+AY41+AY35+AY47</f>
        <v>1635.908284</v>
      </c>
      <c r="AZ7" s="402">
        <f t="shared" si="23"/>
        <v>-0.268267151507042</v>
      </c>
      <c r="BA7" s="163">
        <f>BA13+BA17+BA21+BA25+BA31+BA41+BA35+BA47</f>
        <v>1488.0758</v>
      </c>
      <c r="BB7" s="402">
        <f t="shared" si="24"/>
        <v>-0.331175044463582</v>
      </c>
      <c r="BC7" s="163">
        <f>BC13+BC17+BC21+BC25+BC31+BC41+BC35+BC47</f>
        <v>1460.9032</v>
      </c>
      <c r="BD7" s="402">
        <f t="shared" si="25"/>
        <v>-0.355238550621453</v>
      </c>
      <c r="BE7" s="163">
        <f>BE13+BE17+BE21+BE25+BE31+BE41+BE35+BE47</f>
        <v>1492.053412</v>
      </c>
      <c r="BF7" s="402">
        <f t="shared" si="26"/>
        <v>-0.353008648386318</v>
      </c>
      <c r="BG7" s="163">
        <f>BG13+BG17+BG21+BG25+BG31+BG41+BG35+BG47</f>
        <v>1400.5979</v>
      </c>
      <c r="BH7" s="402">
        <f t="shared" si="27"/>
        <v>-0.357866026885217</v>
      </c>
      <c r="BI7" s="163">
        <f>BI13+BI17+BI21+BI25+BI31+BI41+BI35+BI47</f>
        <v>1273.268124</v>
      </c>
      <c r="BJ7" s="402">
        <f t="shared" si="28"/>
        <v>-0.370340518659933</v>
      </c>
      <c r="BK7" s="163">
        <f>BK13+BK17+BK21+BK25+BK31+BK41+BK35+BK47</f>
        <v>1302.54336</v>
      </c>
      <c r="BL7" s="402">
        <f t="shared" si="29"/>
        <v>-0.332077821599079</v>
      </c>
      <c r="BM7" s="163">
        <f>BM13+BM17+BM21+BM25+BM31+BM41+BM35+BM47</f>
        <v>1676.66368</v>
      </c>
      <c r="BN7" s="402">
        <f t="shared" si="30"/>
        <v>-0.125074305327764</v>
      </c>
      <c r="BO7" s="163">
        <f>BO13+BO17+BO21+BO25+BO31+BO41+BO35+BO47</f>
        <v>1696.889524</v>
      </c>
      <c r="BP7" s="402">
        <f t="shared" si="31"/>
        <v>-0.162104633922296</v>
      </c>
      <c r="BQ7" s="163">
        <f>BQ13+BQ17+BQ21+BQ25+BQ31+BQ41+BQ35+BQ47</f>
        <v>1585.889592</v>
      </c>
      <c r="BR7" s="402">
        <f t="shared" si="32"/>
        <v>-0.102944260451625</v>
      </c>
      <c r="BS7" s="163">
        <f>BS13+BS17+BS21+BS25+BS31+BS41+BS35+BS47</f>
        <v>1413.756208</v>
      </c>
      <c r="BT7" s="402">
        <f t="shared" si="33"/>
        <v>-0.105392717742027</v>
      </c>
      <c r="BU7" s="163">
        <f t="shared" si="34"/>
        <v>18149.889684</v>
      </c>
      <c r="BV7" s="402">
        <f t="shared" si="35"/>
        <v>-0.265195268206837</v>
      </c>
      <c r="BW7" s="429"/>
      <c r="BX7" s="163">
        <f>BX13+BX17+BX21+BX25+BX31+BX41+BX35+BX47</f>
        <v>2224.59</v>
      </c>
      <c r="BY7" s="402">
        <f t="shared" si="36"/>
        <v>-0.088334998388248</v>
      </c>
      <c r="BZ7" s="163">
        <f>BZ13+BZ17+BZ21+BZ25+BZ31+BZ41+BZ35+BZ47</f>
        <v>2235.6633126</v>
      </c>
      <c r="CA7" s="402">
        <f t="shared" si="37"/>
        <v>-0.0950910050545565</v>
      </c>
      <c r="CB7" s="163">
        <f>SUM(CB13,CB17,CB21,CB25,CB31,CB41,CB35,CB47)</f>
        <v>2224.9107</v>
      </c>
      <c r="CC7" s="402">
        <f t="shared" si="38"/>
        <v>0.0690922725167438</v>
      </c>
      <c r="CD7" s="163">
        <f>SUM(CD13,CD17,CD21,CD25,CD31,CD41,CD35,CD47)</f>
        <v>2265.8042</v>
      </c>
      <c r="CE7" s="402">
        <v>0.169916213335731</v>
      </c>
      <c r="CF7" s="163">
        <f>SUM(CF13,CF17,CF21,CF25,CF31,CF41,CF35,CF47)</f>
        <v>2306.1412</v>
      </c>
      <c r="CG7" s="402">
        <f t="shared" si="39"/>
        <v>0.119586901806172</v>
      </c>
      <c r="CH7" s="163">
        <f>SUM(CH13,CH17,CH21,CH25,CH31,CH41,CH35,CH47)</f>
        <v>2181.1615</v>
      </c>
      <c r="CI7" s="402">
        <f t="shared" si="40"/>
        <v>0.0891472470678267</v>
      </c>
      <c r="CJ7" s="163">
        <f>SUM(CJ13,CJ17,CJ21,CJ25,CJ31,CJ41,CJ35,CJ47)</f>
        <v>2022.1535</v>
      </c>
      <c r="CK7" s="402">
        <f t="shared" si="41"/>
        <v>-0.048058763023952</v>
      </c>
      <c r="CL7" s="163">
        <f>SUM(CL13,CL17,CL21,CL25,CL31,CL41,CL35,CL47)</f>
        <v>1950.1424</v>
      </c>
      <c r="CM7" s="402">
        <f t="shared" si="42"/>
        <v>0.00571170562222245</v>
      </c>
      <c r="CN7" s="163">
        <f>SUM(CN13,CN17,CN21,CN25,CN31,CN41,CN35,CN47)</f>
        <v>1916.3498</v>
      </c>
      <c r="CO7" s="402">
        <f t="shared" si="43"/>
        <v>-0.0761440838384084</v>
      </c>
      <c r="CP7" s="163">
        <f>SUM(CP13,CP17,CP21,CP25,CP31,CP41,CP35,CP47)</f>
        <v>2025.1807</v>
      </c>
      <c r="CQ7" s="402">
        <f t="shared" si="44"/>
        <v>-0.0198508234744769</v>
      </c>
      <c r="CR7" s="163">
        <f>SUM(CR13,CR17,CR21,CR25,CR31,CR41,CR35,CR47)</f>
        <v>1767.883</v>
      </c>
      <c r="CS7" s="402">
        <f t="shared" si="45"/>
        <v>0.176016405184154</v>
      </c>
      <c r="CT7" s="163">
        <f>SUM(CT13,CT17,CT21,CT25,CT31,CT41,CT35,CT47)</f>
        <v>1580.3093</v>
      </c>
      <c r="CU7" s="402">
        <f t="shared" si="46"/>
        <v>-0.0208682158208624</v>
      </c>
      <c r="CV7" s="163">
        <f t="shared" si="47"/>
        <v>24700.2896126</v>
      </c>
      <c r="CW7" s="402">
        <f t="shared" si="48"/>
        <v>0.0159670291863803</v>
      </c>
      <c r="CX7" s="408">
        <f t="shared" si="49"/>
        <v>-0.106100743092162</v>
      </c>
      <c r="CY7" s="408"/>
      <c r="CZ7" s="447">
        <v>2440.13974</v>
      </c>
      <c r="DA7" s="448">
        <v>2470.59464</v>
      </c>
      <c r="DB7" s="448">
        <v>2081.1213</v>
      </c>
      <c r="DC7" s="448">
        <v>1936.72348</v>
      </c>
      <c r="DD7" s="448">
        <v>2059.81438</v>
      </c>
      <c r="DE7" s="448">
        <v>2002.63234</v>
      </c>
      <c r="DF7" s="448">
        <v>2124.24194</v>
      </c>
      <c r="DG7" s="448">
        <v>1939.06702</v>
      </c>
      <c r="DH7" s="448">
        <v>2074.2951</v>
      </c>
      <c r="DI7" s="448">
        <v>2066.1964</v>
      </c>
      <c r="DJ7" s="448">
        <v>1503.2809</v>
      </c>
      <c r="DK7" s="448">
        <v>1613.9904</v>
      </c>
      <c r="DL7" s="448">
        <v>24312.09764</v>
      </c>
      <c r="DM7" s="449">
        <v>-0.260829304597618</v>
      </c>
      <c r="DN7" s="411"/>
      <c r="DO7" s="412">
        <f>DO13+DO17+DO21+DO25+DO31+DO41+DO35+DO47</f>
        <v>3325.0447</v>
      </c>
      <c r="DP7" s="87"/>
      <c r="DQ7" s="93">
        <f>DQ13+DQ17+DQ21+DQ25+DQ31+DQ41+DQ35+DQ47</f>
        <v>3870.8858</v>
      </c>
      <c r="DR7" s="104"/>
      <c r="DS7" s="93">
        <f>DS13+DS17+DS21+DS25+DS31+DS41+DS35+DS47</f>
        <v>3401.49</v>
      </c>
      <c r="DT7" s="104" t="e">
        <f t="shared" si="50"/>
        <v>#DIV/0!</v>
      </c>
      <c r="DU7" s="103"/>
      <c r="DV7" s="93">
        <f>DV13+DV17+DV21+DV25+DV31+DV41+DV35+DV47</f>
        <v>2760.0995</v>
      </c>
      <c r="DW7" s="104" t="e">
        <f t="shared" si="51"/>
        <v>#DIV/0!</v>
      </c>
      <c r="DX7" s="93">
        <f>DX13+DX17+DX21+DX25+DX31+DX41+DX35+DX47</f>
        <v>3101.4784</v>
      </c>
      <c r="DY7" s="104" t="e">
        <f t="shared" si="52"/>
        <v>#DIV/0!</v>
      </c>
      <c r="DZ7" s="93">
        <f>DZ13+DZ17+DZ21+DZ25+DZ31+DZ41+DZ35+DZ47</f>
        <v>2696.0046</v>
      </c>
      <c r="EA7" s="104" t="e">
        <f t="shared" si="53"/>
        <v>#DIV/0!</v>
      </c>
      <c r="EB7" s="93">
        <f>EB13+EB17+EB21+EB25+EB31+EB41+EB35+EB47</f>
        <v>2575.3929</v>
      </c>
      <c r="EC7" s="104" t="e">
        <f t="shared" si="54"/>
        <v>#DIV/0!</v>
      </c>
      <c r="ED7" s="93">
        <f>ED13+ED17+ED21+ED25+ED31+ED41+ED35+ED47</f>
        <v>2100.1407</v>
      </c>
      <c r="EE7" s="104" t="e">
        <f t="shared" si="55"/>
        <v>#DIV/0!</v>
      </c>
      <c r="EF7" s="93">
        <f>EF13+EF17+EF21+EF25+EF31+EF41+EF35+EF47</f>
        <v>2338.1611</v>
      </c>
      <c r="EG7" s="104" t="e">
        <f t="shared" si="56"/>
        <v>#DIV/0!</v>
      </c>
      <c r="EH7" s="93">
        <f>EH13+EH17+EH21+EH25+EH31+EH41+EH35+EH47</f>
        <v>2334.3781</v>
      </c>
      <c r="EI7" s="104" t="e">
        <f t="shared" si="57"/>
        <v>#DIV/0!</v>
      </c>
      <c r="EJ7" s="93">
        <f>EJ13+EJ17+EJ21+EJ25+EJ31+EJ41+EJ35+EJ47</f>
        <v>2206.7666</v>
      </c>
      <c r="EK7" s="104" t="e">
        <f t="shared" si="58"/>
        <v>#DIV/0!</v>
      </c>
      <c r="EL7" s="93">
        <f>EL13+EL17+EL21+EL25+EL31+EL41+EL35+EL47</f>
        <v>2181.204</v>
      </c>
      <c r="EM7" s="104" t="e">
        <f t="shared" si="59"/>
        <v>#DIV/0!</v>
      </c>
      <c r="EN7" s="93">
        <f>EN13+EN17+EN21+EN25+EN31+EN41+EN35+EN47</f>
        <v>32891.0464</v>
      </c>
      <c r="EO7" s="104" t="e">
        <f t="shared" si="60"/>
        <v>#DIV/0!</v>
      </c>
      <c r="EP7" s="104"/>
      <c r="FN7" s="432">
        <v>0</v>
      </c>
      <c r="FO7" s="96"/>
      <c r="FP7" s="431"/>
      <c r="JL7" s="399">
        <v>0</v>
      </c>
      <c r="JM7" s="398"/>
      <c r="JN7" s="400"/>
      <c r="JO7" s="445"/>
      <c r="JP7" s="435"/>
      <c r="JQ7" s="435"/>
      <c r="JR7" s="435"/>
      <c r="JS7" s="435"/>
      <c r="JT7" s="435"/>
      <c r="JU7" s="435"/>
      <c r="JV7" s="435"/>
      <c r="JW7" s="435"/>
      <c r="JX7" s="435"/>
      <c r="JY7" s="435"/>
      <c r="JZ7" s="435"/>
      <c r="KA7" s="435"/>
    </row>
    <row r="8" s="284" customFormat="1" ht="27" hidden="1" customHeight="1" spans="1:287">
      <c r="A8" s="298" t="s">
        <v>87</v>
      </c>
      <c r="B8" s="164" t="s">
        <v>206</v>
      </c>
      <c r="C8" s="109">
        <v>323.8804</v>
      </c>
      <c r="D8" s="359">
        <f t="shared" si="0"/>
        <v>0.269273033663832</v>
      </c>
      <c r="E8" s="109">
        <v>236.0855</v>
      </c>
      <c r="F8" s="359">
        <f t="shared" si="1"/>
        <v>-0.0655707987386608</v>
      </c>
      <c r="G8" s="109">
        <v>326.996</v>
      </c>
      <c r="H8" s="359">
        <f t="shared" si="2"/>
        <v>0.0543625671559786</v>
      </c>
      <c r="I8" s="109">
        <v>335.787</v>
      </c>
      <c r="J8" s="359">
        <f t="shared" si="3"/>
        <v>-0.00401701007856359</v>
      </c>
      <c r="K8" s="109">
        <v>327.5977</v>
      </c>
      <c r="L8" s="359">
        <f t="shared" si="4"/>
        <v>0.0430536469563378</v>
      </c>
      <c r="M8" s="109">
        <v>341.1759</v>
      </c>
      <c r="N8" s="359">
        <f t="shared" si="5"/>
        <v>0.0575044727044147</v>
      </c>
      <c r="O8" s="109">
        <v>346.417</v>
      </c>
      <c r="P8" s="359">
        <f t="shared" si="6"/>
        <v>-2.10724247694527e-5</v>
      </c>
      <c r="Q8" s="127"/>
      <c r="R8" s="127"/>
      <c r="S8" s="109">
        <f t="shared" si="7"/>
        <v>2237.9395</v>
      </c>
      <c r="T8" s="359">
        <f t="shared" si="8"/>
        <v>-0.0912341151002194</v>
      </c>
      <c r="U8" s="359"/>
      <c r="V8" s="109">
        <v>255.17</v>
      </c>
      <c r="W8" s="359">
        <f t="shared" si="9"/>
        <v>5.77132674696621</v>
      </c>
      <c r="X8" s="109">
        <v>252.6521</v>
      </c>
      <c r="Y8" s="359">
        <f t="shared" si="10"/>
        <v>6.8376246285186</v>
      </c>
      <c r="Z8" s="109">
        <v>310.1362</v>
      </c>
      <c r="AA8" s="359">
        <f t="shared" si="11"/>
        <v>4.97432553480443</v>
      </c>
      <c r="AB8" s="109">
        <v>337.1413</v>
      </c>
      <c r="AC8" s="359">
        <f t="shared" si="12"/>
        <v>4.70989463986004</v>
      </c>
      <c r="AD8" s="109">
        <v>314.0756</v>
      </c>
      <c r="AE8" s="359">
        <f t="shared" si="13"/>
        <v>4.34352100910392</v>
      </c>
      <c r="AF8" s="109">
        <v>322.6236</v>
      </c>
      <c r="AG8" s="359">
        <f t="shared" si="14"/>
        <v>4.97571732071844</v>
      </c>
      <c r="AH8" s="109">
        <v>346.4243</v>
      </c>
      <c r="AI8" s="359">
        <f t="shared" si="15"/>
        <v>6.0320683670466</v>
      </c>
      <c r="AJ8" s="109">
        <v>324.3908</v>
      </c>
      <c r="AK8" s="359">
        <f t="shared" si="16"/>
        <v>6.35603397840294</v>
      </c>
      <c r="AL8" s="109">
        <v>349.4122</v>
      </c>
      <c r="AM8" s="359">
        <f t="shared" si="17"/>
        <v>5.51611254913955</v>
      </c>
      <c r="AN8" s="109">
        <v>330.8522</v>
      </c>
      <c r="AO8" s="359">
        <f t="shared" si="18"/>
        <v>0.108624731432125</v>
      </c>
      <c r="AP8" s="109">
        <v>355.1516</v>
      </c>
      <c r="AQ8" s="359">
        <f t="shared" si="19"/>
        <v>0.161030607394602</v>
      </c>
      <c r="AR8" s="109">
        <v>354.3792</v>
      </c>
      <c r="AS8" s="359">
        <f t="shared" si="20"/>
        <v>0.179245524743481</v>
      </c>
      <c r="AT8" s="107">
        <f t="shared" si="21"/>
        <v>3852.4091</v>
      </c>
      <c r="AU8" s="359">
        <f t="shared" si="22"/>
        <v>1.86324648603918</v>
      </c>
      <c r="AV8" s="360"/>
      <c r="AW8" s="450">
        <v>37.6839</v>
      </c>
      <c r="AX8" s="361">
        <v>1.33887164846077</v>
      </c>
      <c r="AY8" s="108">
        <v>32.2358</v>
      </c>
      <c r="AZ8" s="361">
        <f t="shared" si="23"/>
        <v>0.0693084414722818</v>
      </c>
      <c r="BA8" s="108">
        <v>51.9115</v>
      </c>
      <c r="BB8" s="361">
        <f t="shared" si="24"/>
        <v>0.00168647405357736</v>
      </c>
      <c r="BC8" s="108">
        <v>59.0451</v>
      </c>
      <c r="BD8" s="361">
        <f t="shared" si="25"/>
        <v>0.14416071124064</v>
      </c>
      <c r="BE8" s="362">
        <v>58.7769</v>
      </c>
      <c r="BF8" s="361">
        <f t="shared" si="26"/>
        <v>0.140844906396483</v>
      </c>
      <c r="BG8" s="108">
        <v>53.9891</v>
      </c>
      <c r="BH8" s="361">
        <f t="shared" si="27"/>
        <v>0.101076825811188</v>
      </c>
      <c r="BI8" s="108">
        <v>49.2635</v>
      </c>
      <c r="BJ8" s="361">
        <f t="shared" si="28"/>
        <v>0.113173652694611</v>
      </c>
      <c r="BK8" s="108">
        <v>44.0986</v>
      </c>
      <c r="BL8" s="361">
        <f t="shared" si="29"/>
        <v>0.0741713272404854</v>
      </c>
      <c r="BM8" s="108">
        <v>53.6228</v>
      </c>
      <c r="BN8" s="361">
        <f t="shared" si="30"/>
        <v>0.250566713620717</v>
      </c>
      <c r="BO8" s="108">
        <v>298.4348</v>
      </c>
      <c r="BP8" s="361">
        <f t="shared" si="31"/>
        <v>4.55316385505402</v>
      </c>
      <c r="BQ8" s="108">
        <v>305.8934</v>
      </c>
      <c r="BR8" s="361">
        <f t="shared" si="32"/>
        <v>4.61285682043792</v>
      </c>
      <c r="BS8" s="108">
        <v>300.5135</v>
      </c>
      <c r="BT8" s="361">
        <f t="shared" si="33"/>
        <v>5.18330356701947</v>
      </c>
      <c r="BU8" s="108">
        <f t="shared" si="34"/>
        <v>1345.4689</v>
      </c>
      <c r="BV8" s="361">
        <f t="shared" si="35"/>
        <v>1.51362705057766</v>
      </c>
      <c r="BW8" s="364"/>
      <c r="BX8" s="450">
        <v>16.112</v>
      </c>
      <c r="BY8" s="361">
        <f t="shared" si="36"/>
        <v>-0.61491395793499</v>
      </c>
      <c r="BZ8" s="450">
        <v>30.1464</v>
      </c>
      <c r="CA8" s="361">
        <f t="shared" si="37"/>
        <v>-0.235249201545412</v>
      </c>
      <c r="CB8" s="108">
        <v>51.8241</v>
      </c>
      <c r="CC8" s="451">
        <f t="shared" si="38"/>
        <v>0.859760999066963</v>
      </c>
      <c r="CD8" s="452">
        <v>51.6056</v>
      </c>
      <c r="CE8" s="451">
        <v>1.47317898409382</v>
      </c>
      <c r="CF8" s="108">
        <v>51.5205</v>
      </c>
      <c r="CG8" s="361">
        <f t="shared" si="39"/>
        <v>0.895355467672216</v>
      </c>
      <c r="CH8" s="108">
        <v>49.033</v>
      </c>
      <c r="CI8" s="361">
        <f t="shared" si="40"/>
        <v>0.408921377629893</v>
      </c>
      <c r="CJ8" s="108">
        <v>44.255</v>
      </c>
      <c r="CK8" s="361">
        <f t="shared" si="41"/>
        <v>0.22909729184777</v>
      </c>
      <c r="CL8" s="108">
        <v>41.0536</v>
      </c>
      <c r="CM8" s="361">
        <f t="shared" si="42"/>
        <v>0.387635075527373</v>
      </c>
      <c r="CN8" s="108">
        <v>42.8788</v>
      </c>
      <c r="CO8" s="361">
        <f t="shared" si="43"/>
        <v>0.491742653274933</v>
      </c>
      <c r="CP8" s="108">
        <v>53.7414</v>
      </c>
      <c r="CQ8" s="361">
        <f t="shared" si="44"/>
        <v>1.78333152064138</v>
      </c>
      <c r="CR8" s="108">
        <v>54.4987</v>
      </c>
      <c r="CS8" s="361">
        <f t="shared" si="45"/>
        <v>2.76102108982499</v>
      </c>
      <c r="CT8" s="450">
        <v>48.6008</v>
      </c>
      <c r="CU8" s="361">
        <f t="shared" si="46"/>
        <v>3.40715652402586</v>
      </c>
      <c r="CV8" s="108">
        <f t="shared" si="47"/>
        <v>535.2699</v>
      </c>
      <c r="CW8" s="361">
        <f t="shared" si="48"/>
        <v>0.61645470078656</v>
      </c>
      <c r="CX8" s="365">
        <f t="shared" si="49"/>
        <v>-0.108220930040533</v>
      </c>
      <c r="CY8" s="365"/>
      <c r="CZ8" s="453">
        <v>41.84</v>
      </c>
      <c r="DA8" s="450">
        <v>39.4199</v>
      </c>
      <c r="DB8" s="450">
        <v>27.866</v>
      </c>
      <c r="DC8" s="450">
        <v>20.8661</v>
      </c>
      <c r="DD8" s="108">
        <v>27.1825</v>
      </c>
      <c r="DE8" s="108">
        <v>34.8018</v>
      </c>
      <c r="DF8" s="108">
        <v>36.0061</v>
      </c>
      <c r="DG8" s="108">
        <v>29.5853</v>
      </c>
      <c r="DH8" s="108">
        <v>28.7441</v>
      </c>
      <c r="DI8" s="108">
        <v>19.3083</v>
      </c>
      <c r="DJ8" s="108">
        <v>14.4904</v>
      </c>
      <c r="DK8" s="108">
        <v>11.0277</v>
      </c>
      <c r="DL8" s="108">
        <v>331.1382</v>
      </c>
      <c r="DM8" s="368">
        <v>-0.427603773956712</v>
      </c>
      <c r="DN8" s="369"/>
      <c r="DO8" s="370">
        <v>34.234</v>
      </c>
      <c r="DP8" s="371">
        <f>(DO8-DX8)/DX8</f>
        <v>-0.468663665994102</v>
      </c>
      <c r="DQ8" s="374">
        <v>30.7588</v>
      </c>
      <c r="DR8" s="373"/>
      <c r="DS8" s="374">
        <v>46.278</v>
      </c>
      <c r="DT8" s="373" t="e">
        <f t="shared" si="50"/>
        <v>#DIV/0!</v>
      </c>
      <c r="DU8" s="374"/>
      <c r="DV8" s="374">
        <v>64.37</v>
      </c>
      <c r="DW8" s="373">
        <f t="shared" si="51"/>
        <v>4.45046570702794</v>
      </c>
      <c r="DX8" s="374">
        <v>64.43</v>
      </c>
      <c r="DY8" s="373">
        <f t="shared" si="52"/>
        <v>1.174353228626</v>
      </c>
      <c r="DZ8" s="374">
        <v>63.33</v>
      </c>
      <c r="EA8" s="373">
        <f t="shared" si="53"/>
        <v>0.361349957007738</v>
      </c>
      <c r="EB8" s="374">
        <v>61</v>
      </c>
      <c r="EC8" s="373">
        <f t="shared" si="54"/>
        <v>0.0760275180807903</v>
      </c>
      <c r="ED8" s="454">
        <v>22.8109</v>
      </c>
      <c r="EE8" s="373">
        <f t="shared" si="55"/>
        <v>-0.676487023117288</v>
      </c>
      <c r="EF8" s="454">
        <v>47.2808</v>
      </c>
      <c r="EG8" s="373">
        <f t="shared" si="56"/>
        <v>-0.31297878523685</v>
      </c>
      <c r="EH8" s="454">
        <v>49.4189</v>
      </c>
      <c r="EI8" s="373">
        <f t="shared" si="57"/>
        <v>-0.586279614901632</v>
      </c>
      <c r="EJ8" s="454">
        <v>49.061</v>
      </c>
      <c r="EK8" s="373">
        <f t="shared" si="58"/>
        <v>-0.435561435803037</v>
      </c>
      <c r="EL8" s="454">
        <v>45.5398</v>
      </c>
      <c r="EM8" s="373">
        <f t="shared" si="59"/>
        <v>-0.354045390070922</v>
      </c>
      <c r="EN8" s="372">
        <f t="shared" ref="EN8:EN39" si="64">DO8+DQ8+DS8+DV8+DX8+DZ8+EB8+ED8+EF8+EH8+EJ8+EL8</f>
        <v>578.5122</v>
      </c>
      <c r="EO8" s="373">
        <f t="shared" si="60"/>
        <v>-0.279428407584065</v>
      </c>
      <c r="EP8" s="455">
        <v>242</v>
      </c>
      <c r="EQ8" s="373">
        <f>(EP8-FP8)/FP8</f>
        <v>-0.632218844984802</v>
      </c>
      <c r="ER8" s="374">
        <v>0</v>
      </c>
      <c r="ES8" s="373">
        <f>(ER8-FQ8)/FQ8</f>
        <v>-1</v>
      </c>
      <c r="ET8" s="374">
        <v>0</v>
      </c>
      <c r="EU8" s="373">
        <f>(ET8-FR8)/FR8</f>
        <v>-1</v>
      </c>
      <c r="EV8" s="374">
        <v>11.81</v>
      </c>
      <c r="EW8" s="373">
        <f>(EV8-FS8)/FS8</f>
        <v>-0.972014218009479</v>
      </c>
      <c r="EX8" s="374">
        <v>29.6318</v>
      </c>
      <c r="EY8" s="373">
        <f>(EX8-FT8)/FT8</f>
        <v>-0.925734837092732</v>
      </c>
      <c r="EZ8" s="374">
        <v>46.52</v>
      </c>
      <c r="FA8" s="373">
        <f>(EZ8-FU8)/FU8</f>
        <v>-0.876931216931217</v>
      </c>
      <c r="FB8" s="374">
        <v>56.69</v>
      </c>
      <c r="FC8" s="373">
        <f>(FB8-FV8)/FV8</f>
        <v>-0.848422459893048</v>
      </c>
      <c r="FD8" s="374">
        <v>70.51</v>
      </c>
      <c r="FE8" s="373">
        <f>(FD8-FW8)/FW8</f>
        <v>-0.776867088607595</v>
      </c>
      <c r="FF8" s="374">
        <v>68.82</v>
      </c>
      <c r="FG8" s="373">
        <f>(FF8-FX8)/FX8</f>
        <v>-0.802808022922636</v>
      </c>
      <c r="FH8" s="374">
        <v>119.45</v>
      </c>
      <c r="FI8" s="373">
        <f>(FH8-FY8)/FY8</f>
        <v>-0.660653409090909</v>
      </c>
      <c r="FJ8" s="374">
        <v>86.92</v>
      </c>
      <c r="FK8" s="373">
        <f>(FJ8-GA8)/GA8</f>
        <v>-0.701305841924399</v>
      </c>
      <c r="FL8" s="374">
        <v>70.5</v>
      </c>
      <c r="FM8" s="456">
        <f>(FL8-GC8)/GC8</f>
        <v>-0.601694915254237</v>
      </c>
      <c r="FN8" s="359">
        <v>802.8518</v>
      </c>
      <c r="FO8" s="358">
        <f>(FN8-(FP8+FQ8+FR8+FS8+FT8+FU8+FV8+FW8+FX8+FY8+GA8+GC8))/(FP8+FQ8+FR8+FS8+FT8+FU8+FV8+FW8+FX8+FY8+GA8+GC8)</f>
        <v>-0.835582265001024</v>
      </c>
      <c r="FP8" s="439">
        <v>658</v>
      </c>
      <c r="FQ8" s="439">
        <v>680</v>
      </c>
      <c r="FR8" s="439">
        <v>487</v>
      </c>
      <c r="FS8" s="439">
        <v>422</v>
      </c>
      <c r="FT8" s="439">
        <v>399</v>
      </c>
      <c r="FU8" s="439">
        <v>378</v>
      </c>
      <c r="FV8" s="459">
        <v>374</v>
      </c>
      <c r="FW8" s="459">
        <v>316</v>
      </c>
      <c r="FX8" s="459">
        <v>349</v>
      </c>
      <c r="FY8" s="459">
        <v>352</v>
      </c>
      <c r="FZ8" s="368">
        <f>(FY8-HA8)/HA8</f>
        <v>-0.542857142857143</v>
      </c>
      <c r="GA8" s="459">
        <v>291</v>
      </c>
      <c r="GB8" s="368">
        <f>(GA8-HC8)/HC8</f>
        <v>-0.61558784676354</v>
      </c>
      <c r="GC8" s="459">
        <v>177</v>
      </c>
      <c r="GD8" s="368">
        <f>(GC8-HE8)/HE8</f>
        <v>-0.714516129032258</v>
      </c>
      <c r="GE8" s="455">
        <f>FP8+FQ8+FR8+FS8+FT8+FU8+FV8+FW8+FX8+FY8+GA8+GC8</f>
        <v>4883</v>
      </c>
      <c r="GF8" s="460">
        <f>(GE8-HG8)/HG8</f>
        <v>-0.449306417051991</v>
      </c>
      <c r="GG8" s="317"/>
      <c r="GH8" s="378"/>
      <c r="GI8" s="379">
        <v>729</v>
      </c>
      <c r="GJ8" s="376">
        <f>(GI8-HL8)/HL8</f>
        <v>-0.151338766006985</v>
      </c>
      <c r="GK8" s="375">
        <v>832</v>
      </c>
      <c r="GL8" s="376">
        <f>(GK8-HN8)/HN8</f>
        <v>-0.22962962962963</v>
      </c>
      <c r="GM8" s="375">
        <v>780</v>
      </c>
      <c r="GN8" s="376">
        <f>(GM8-HP8)/HP8</f>
        <v>-0.152173913043478</v>
      </c>
      <c r="GO8" s="375">
        <v>808</v>
      </c>
      <c r="GP8" s="376">
        <f>(GO8-HR8)/HR8</f>
        <v>-0.0403800475059382</v>
      </c>
      <c r="GQ8" s="375">
        <v>715</v>
      </c>
      <c r="GR8" s="376">
        <f>(GQ8-HT8)/HT8</f>
        <v>-0.180045871559633</v>
      </c>
      <c r="GS8" s="375">
        <v>758</v>
      </c>
      <c r="GT8" s="376">
        <f>(GS8-HW8)/HW8</f>
        <v>-0.115519253208868</v>
      </c>
      <c r="GU8" s="375">
        <v>716</v>
      </c>
      <c r="GV8" s="376">
        <f>(GU8-HY8)/HY8</f>
        <v>-0.157647058823529</v>
      </c>
      <c r="GW8" s="375">
        <v>672</v>
      </c>
      <c r="GX8" s="376">
        <f>(GW8-IA8)/IA8</f>
        <v>-0.220417633410673</v>
      </c>
      <c r="GY8" s="375">
        <v>710</v>
      </c>
      <c r="GZ8" s="376">
        <f>(GY8-IC8)/IC8</f>
        <v>-0.164705882352941</v>
      </c>
      <c r="HA8" s="375">
        <v>770</v>
      </c>
      <c r="HB8" s="376">
        <f>(HA8-IE8)/IE8</f>
        <v>-0.153846153846154</v>
      </c>
      <c r="HC8" s="375">
        <v>757</v>
      </c>
      <c r="HD8" s="376">
        <f>(HC8-IG8)/IG8</f>
        <v>-0.0768292682926829</v>
      </c>
      <c r="HE8" s="375">
        <v>620</v>
      </c>
      <c r="HF8" s="376">
        <f>(HE8-II8)/II8</f>
        <v>-0.154160982264666</v>
      </c>
      <c r="HG8" s="375">
        <f>GI8+GK8+GM8+GO8+GQ8+GS8+GU8+GW8+GY8+HA8+HC8+HE8</f>
        <v>8867</v>
      </c>
      <c r="HH8" s="375">
        <f>HE8+HC8+HA8+GY8+GW8+GU8+GS8+GQ8+GO8+GM8+GK8+GI8</f>
        <v>8867</v>
      </c>
      <c r="HI8" s="377"/>
      <c r="HJ8" s="461" t="s">
        <v>213</v>
      </c>
      <c r="HK8" s="382"/>
      <c r="HL8" s="379">
        <v>859</v>
      </c>
      <c r="HM8" s="380">
        <f>(HL8-IN8)/IN8</f>
        <v>-0.0471436494731004</v>
      </c>
      <c r="HN8" s="462">
        <v>1080</v>
      </c>
      <c r="HO8" s="380">
        <f>(HN8-IP8)/IP8</f>
        <v>-0.146959859722288</v>
      </c>
      <c r="HP8" s="462">
        <v>920</v>
      </c>
      <c r="HQ8" s="463">
        <f>(HP8-IR8)/IR8</f>
        <v>-0.1015625</v>
      </c>
      <c r="HR8" s="464">
        <v>842</v>
      </c>
      <c r="HS8" s="465">
        <f>(HR8-IT8)/IT8</f>
        <v>-0.148634984833165</v>
      </c>
      <c r="HT8" s="464">
        <v>872</v>
      </c>
      <c r="HU8" s="465">
        <f>(HT8-IV8)/IV8</f>
        <v>-0.101956745623069</v>
      </c>
      <c r="HV8" s="466"/>
      <c r="HW8" s="464">
        <v>857</v>
      </c>
      <c r="HX8" s="465">
        <f>(HW8-IX8)/IX8</f>
        <v>-0.138693467336683</v>
      </c>
      <c r="HY8" s="464">
        <v>850</v>
      </c>
      <c r="HZ8" s="465">
        <f>(HY8-IZ8)/IZ8</f>
        <v>-0.08207343412527</v>
      </c>
      <c r="IA8" s="464">
        <v>862</v>
      </c>
      <c r="IB8" s="390">
        <f>(IA8-JB8)/JB8</f>
        <v>-0.0325476992143659</v>
      </c>
      <c r="IC8" s="464">
        <v>850</v>
      </c>
      <c r="ID8" s="390">
        <f>(IC8-JD8)/JD8</f>
        <v>-0.0252293577981651</v>
      </c>
      <c r="IE8" s="464">
        <v>910</v>
      </c>
      <c r="IF8" s="390">
        <f>(IE8-JF8)/JF8</f>
        <v>-0.0530697190426639</v>
      </c>
      <c r="IG8" s="464">
        <v>820</v>
      </c>
      <c r="IH8" s="390">
        <f>(IG8-JH8)/JH8</f>
        <v>-0.0352941176470588</v>
      </c>
      <c r="II8" s="464">
        <v>733</v>
      </c>
      <c r="IJ8" s="309">
        <f>(II8-JJ8)/JJ8</f>
        <v>-0.124253285543608</v>
      </c>
      <c r="IK8" s="391">
        <f>HL8+HN8+HP8+HR8+HT8+HW8+HY8+IA8+IC8+IE8+IG8+II8</f>
        <v>10455</v>
      </c>
      <c r="IL8" s="104">
        <f>IK8/JL8-1</f>
        <v>-0.0895680433593763</v>
      </c>
      <c r="IM8" s="392"/>
      <c r="IN8" s="467">
        <v>901.5</v>
      </c>
      <c r="IO8" s="413">
        <f>IN8/JP8-1</f>
        <v>-0.118912051941148</v>
      </c>
      <c r="IP8" s="414">
        <v>1266.06</v>
      </c>
      <c r="IQ8" s="413">
        <f>IP8/JQ8-1</f>
        <v>-0.0979144982406229</v>
      </c>
      <c r="IR8" s="414">
        <v>1024</v>
      </c>
      <c r="IS8" s="394">
        <f>(IR8-JR8)/JR8</f>
        <v>-0.0917650720140466</v>
      </c>
      <c r="IT8" s="468">
        <v>989</v>
      </c>
      <c r="IU8" s="413">
        <f>(IT8-JS8)/JS8</f>
        <v>0.111711501165781</v>
      </c>
      <c r="IV8" s="468">
        <v>971</v>
      </c>
      <c r="IW8" s="413">
        <f>(IV8-JT8)/JT8</f>
        <v>0.0956868243790501</v>
      </c>
      <c r="IX8" s="468">
        <v>995</v>
      </c>
      <c r="IY8" s="413">
        <f>(IX8-JU8)/JU8</f>
        <v>0.0516252216350743</v>
      </c>
      <c r="IZ8" s="468">
        <v>926</v>
      </c>
      <c r="JA8" s="413">
        <f>(IZ8-JV8)/JV8</f>
        <v>-0.0177051488198589</v>
      </c>
      <c r="JB8" s="414">
        <v>891</v>
      </c>
      <c r="JC8" s="413">
        <f>(JB8-JW8)/JW8</f>
        <v>-0.0210920295329428</v>
      </c>
      <c r="JD8" s="414">
        <v>872</v>
      </c>
      <c r="JE8" s="469">
        <f>(JD8-JX8)/JX8</f>
        <v>-0.0462267098656394</v>
      </c>
      <c r="JF8" s="470">
        <v>961</v>
      </c>
      <c r="JG8" s="471">
        <f>(JF8-JY8)/JY8</f>
        <v>0.020779119959806</v>
      </c>
      <c r="JH8" s="472">
        <v>850</v>
      </c>
      <c r="JI8" s="380">
        <f>(JH8-JZ8)/JZ8</f>
        <v>0.0054155377749541</v>
      </c>
      <c r="JJ8" s="472">
        <v>837</v>
      </c>
      <c r="JK8" s="380">
        <f>(JJ8-KA8)/KA8</f>
        <v>-0.16748212972239</v>
      </c>
      <c r="JL8" s="399">
        <f t="shared" si="62"/>
        <v>11483.56</v>
      </c>
      <c r="JM8" s="398">
        <f>JL8/JO8-1</f>
        <v>-0.0297343697189841</v>
      </c>
      <c r="JN8" s="400"/>
      <c r="JO8" s="383">
        <v>11835.4805546127</v>
      </c>
      <c r="JP8" s="374">
        <v>1023.16687225846</v>
      </c>
      <c r="JQ8" s="374">
        <v>1403.48115287381</v>
      </c>
      <c r="JR8" s="374">
        <v>1127.46159440351</v>
      </c>
      <c r="JS8" s="374">
        <v>889.619293281484</v>
      </c>
      <c r="JT8" s="374">
        <v>886.202132210805</v>
      </c>
      <c r="JU8" s="374">
        <v>946.154561083051</v>
      </c>
      <c r="JV8" s="374">
        <v>942.690475153659</v>
      </c>
      <c r="JW8" s="374">
        <v>910.197921439832</v>
      </c>
      <c r="JX8" s="374">
        <v>914.263388396166</v>
      </c>
      <c r="JY8" s="374">
        <v>941.437752016166</v>
      </c>
      <c r="JZ8" s="374">
        <v>845.421587457363</v>
      </c>
      <c r="KA8" s="374">
        <v>1005.38382403839</v>
      </c>
    </row>
    <row r="9" s="285" customFormat="1" ht="28.8" hidden="1" customHeight="1" spans="1:287">
      <c r="A9" s="28"/>
      <c r="B9" s="141" t="s">
        <v>209</v>
      </c>
      <c r="C9" s="163">
        <v>15634.2955</v>
      </c>
      <c r="D9" s="359">
        <f t="shared" si="0"/>
        <v>0.253039780263583</v>
      </c>
      <c r="E9" s="109">
        <v>13762.8961</v>
      </c>
      <c r="F9" s="359">
        <f t="shared" si="1"/>
        <v>0.00302935663820847</v>
      </c>
      <c r="G9" s="109">
        <v>18904.2637</v>
      </c>
      <c r="H9" s="359">
        <f t="shared" si="2"/>
        <v>0.0022293088181482</v>
      </c>
      <c r="I9" s="109">
        <v>21448.6084</v>
      </c>
      <c r="J9" s="359">
        <f t="shared" si="3"/>
        <v>-0.0372618341517161</v>
      </c>
      <c r="K9" s="109">
        <v>20903.5122</v>
      </c>
      <c r="L9" s="359">
        <f t="shared" si="4"/>
        <v>0.0643527344014612</v>
      </c>
      <c r="M9" s="109">
        <v>19301.074</v>
      </c>
      <c r="N9" s="359">
        <f t="shared" si="5"/>
        <v>0.0721535342416146</v>
      </c>
      <c r="O9" s="109">
        <v>19436.1776</v>
      </c>
      <c r="P9" s="359">
        <f t="shared" si="6"/>
        <v>0.0236717073751085</v>
      </c>
      <c r="Q9" s="127"/>
      <c r="R9" s="127"/>
      <c r="S9" s="109">
        <f t="shared" si="7"/>
        <v>129390.8275</v>
      </c>
      <c r="T9" s="359">
        <f t="shared" si="8"/>
        <v>-0.0884882860955066</v>
      </c>
      <c r="U9" s="359"/>
      <c r="V9" s="163">
        <v>12477.0943</v>
      </c>
      <c r="W9" s="359">
        <f t="shared" si="9"/>
        <v>0.695796392130401</v>
      </c>
      <c r="X9" s="93">
        <v>13721.3293</v>
      </c>
      <c r="Y9" s="402">
        <f t="shared" si="10"/>
        <v>0.596851205097959</v>
      </c>
      <c r="Z9" s="93">
        <v>18862.214</v>
      </c>
      <c r="AA9" s="402">
        <f t="shared" si="11"/>
        <v>0.594526529815541</v>
      </c>
      <c r="AB9" s="93">
        <v>22278.7557</v>
      </c>
      <c r="AC9" s="402">
        <f t="shared" si="12"/>
        <v>0.579840843844377</v>
      </c>
      <c r="AD9" s="93">
        <v>19639.6472</v>
      </c>
      <c r="AE9" s="402">
        <f t="shared" si="13"/>
        <v>0.499652714204078</v>
      </c>
      <c r="AF9" s="93">
        <v>18002.1549</v>
      </c>
      <c r="AG9" s="402">
        <f t="shared" si="14"/>
        <v>0.61426558936543</v>
      </c>
      <c r="AH9" s="93">
        <v>18986.7293</v>
      </c>
      <c r="AI9" s="402">
        <f t="shared" si="15"/>
        <v>0.614652434368805</v>
      </c>
      <c r="AJ9" s="93">
        <v>17983.9839</v>
      </c>
      <c r="AK9" s="402">
        <f t="shared" si="16"/>
        <v>0.724806072074727</v>
      </c>
      <c r="AL9" s="93">
        <v>19399.7794</v>
      </c>
      <c r="AM9" s="402">
        <f t="shared" si="17"/>
        <v>0.789828873622603</v>
      </c>
      <c r="AN9" s="93">
        <v>21001.8897</v>
      </c>
      <c r="AO9" s="402">
        <f t="shared" si="18"/>
        <v>0.0562325799542138</v>
      </c>
      <c r="AP9" s="93">
        <v>20735.7868</v>
      </c>
      <c r="AQ9" s="402">
        <f t="shared" si="19"/>
        <v>0.134339670434614</v>
      </c>
      <c r="AR9" s="93">
        <v>18221.526</v>
      </c>
      <c r="AS9" s="402">
        <f t="shared" si="20"/>
        <v>0.269495257236862</v>
      </c>
      <c r="AT9" s="107">
        <f t="shared" si="21"/>
        <v>221310.8905</v>
      </c>
      <c r="AU9" s="359">
        <f t="shared" si="22"/>
        <v>0.459146405622463</v>
      </c>
      <c r="AV9" s="360"/>
      <c r="AW9" s="473">
        <v>7357.6606</v>
      </c>
      <c r="AX9" s="474">
        <v>1.29728637935462</v>
      </c>
      <c r="AY9" s="448">
        <v>8592.7413</v>
      </c>
      <c r="AZ9" s="475">
        <f t="shared" si="23"/>
        <v>0.322290223296808</v>
      </c>
      <c r="BA9" s="448">
        <v>11829.351</v>
      </c>
      <c r="BB9" s="475">
        <f t="shared" si="24"/>
        <v>-0.0876481498132152</v>
      </c>
      <c r="BC9" s="448">
        <v>14101.8988</v>
      </c>
      <c r="BD9" s="475">
        <f t="shared" si="25"/>
        <v>0.153235495649322</v>
      </c>
      <c r="BE9" s="476">
        <v>13096.1302</v>
      </c>
      <c r="BF9" s="475">
        <f t="shared" si="26"/>
        <v>0.210125470819001</v>
      </c>
      <c r="BG9" s="163">
        <v>11151.9164</v>
      </c>
      <c r="BH9" s="475">
        <f t="shared" si="27"/>
        <v>0.0722623617984364</v>
      </c>
      <c r="BI9" s="163">
        <v>11759.0194</v>
      </c>
      <c r="BJ9" s="475">
        <f t="shared" si="28"/>
        <v>0.134376423484989</v>
      </c>
      <c r="BK9" s="163">
        <v>10426.6701</v>
      </c>
      <c r="BL9" s="475">
        <f t="shared" si="29"/>
        <v>0.0506550986891294</v>
      </c>
      <c r="BM9" s="163">
        <v>10838.9018</v>
      </c>
      <c r="BN9" s="475">
        <f t="shared" si="30"/>
        <v>0.0260117588506528</v>
      </c>
      <c r="BO9" s="163">
        <v>19883.7738</v>
      </c>
      <c r="BP9" s="475">
        <f t="shared" si="31"/>
        <v>0.704572530969239</v>
      </c>
      <c r="BQ9" s="163">
        <v>18280.0508</v>
      </c>
      <c r="BR9" s="475">
        <f t="shared" si="32"/>
        <v>0.65564084779227</v>
      </c>
      <c r="BS9" s="163">
        <v>14353.3628</v>
      </c>
      <c r="BT9" s="475">
        <f t="shared" si="33"/>
        <v>0.732078810453836</v>
      </c>
      <c r="BU9" s="109">
        <f t="shared" si="34"/>
        <v>151671.477</v>
      </c>
      <c r="BV9" s="359">
        <f t="shared" si="35"/>
        <v>0.285738465873091</v>
      </c>
      <c r="BW9" s="429"/>
      <c r="BX9" s="473">
        <v>3202.7616</v>
      </c>
      <c r="BY9" s="475">
        <f t="shared" si="36"/>
        <v>-0.515988206823917</v>
      </c>
      <c r="BZ9" s="473">
        <v>6498.3777</v>
      </c>
      <c r="CA9" s="475">
        <f t="shared" si="37"/>
        <v>0.0717107290694139</v>
      </c>
      <c r="CB9" s="448">
        <v>12965.7774</v>
      </c>
      <c r="CC9" s="475">
        <f t="shared" si="38"/>
        <v>3.20292747384746</v>
      </c>
      <c r="CD9" s="448">
        <v>12228.1172</v>
      </c>
      <c r="CE9" s="475">
        <v>4.10035681717594</v>
      </c>
      <c r="CF9" s="163">
        <v>10822.1259</v>
      </c>
      <c r="CG9" s="359">
        <f t="shared" si="39"/>
        <v>1.77732547745858</v>
      </c>
      <c r="CH9" s="163">
        <v>10400.3617</v>
      </c>
      <c r="CI9" s="359">
        <f t="shared" si="40"/>
        <v>0.369012484946487</v>
      </c>
      <c r="CJ9" s="163">
        <v>10366.0647</v>
      </c>
      <c r="CK9" s="359">
        <f t="shared" si="41"/>
        <v>0.237501808160792</v>
      </c>
      <c r="CL9" s="109">
        <v>9923.9704</v>
      </c>
      <c r="CM9" s="359">
        <f t="shared" si="42"/>
        <v>0.699309039774001</v>
      </c>
      <c r="CN9" s="109">
        <v>10564.1107</v>
      </c>
      <c r="CO9" s="359">
        <f t="shared" si="43"/>
        <v>1.18304556379991</v>
      </c>
      <c r="CP9" s="109">
        <v>11664.962</v>
      </c>
      <c r="CQ9" s="359">
        <f t="shared" si="44"/>
        <v>3.38957815546126</v>
      </c>
      <c r="CR9" s="109">
        <v>11041.0726</v>
      </c>
      <c r="CS9" s="359">
        <f t="shared" si="45"/>
        <v>4.39209050330714</v>
      </c>
      <c r="CT9" s="109">
        <v>8286.7839</v>
      </c>
      <c r="CU9" s="359">
        <f t="shared" si="46"/>
        <v>3.52337143464756</v>
      </c>
      <c r="CV9" s="109">
        <f t="shared" si="47"/>
        <v>117964.4858</v>
      </c>
      <c r="CW9" s="359">
        <f t="shared" si="48"/>
        <v>1.13512232235439</v>
      </c>
      <c r="CX9" s="408">
        <f t="shared" si="49"/>
        <v>-0.249458435768278</v>
      </c>
      <c r="CY9" s="408"/>
      <c r="CZ9" s="477">
        <v>6617.1148</v>
      </c>
      <c r="DA9" s="473">
        <v>6063.5557</v>
      </c>
      <c r="DB9" s="473">
        <v>3084.9396</v>
      </c>
      <c r="DC9" s="473">
        <v>2397.5023</v>
      </c>
      <c r="DD9" s="448">
        <v>3896.5998</v>
      </c>
      <c r="DE9" s="448">
        <v>7596.9809</v>
      </c>
      <c r="DF9" s="448">
        <v>8376.6057</v>
      </c>
      <c r="DG9" s="448">
        <v>5840.0033</v>
      </c>
      <c r="DH9" s="448">
        <v>4839.1618</v>
      </c>
      <c r="DI9" s="448">
        <v>2657.4221</v>
      </c>
      <c r="DJ9" s="448">
        <v>2047.6423</v>
      </c>
      <c r="DK9" s="448">
        <v>1831.9928</v>
      </c>
      <c r="DL9" s="448">
        <v>55249.5211</v>
      </c>
      <c r="DM9" s="449">
        <v>-0.475364942964781</v>
      </c>
      <c r="DN9" s="411"/>
      <c r="DO9" s="412">
        <v>4523.3012</v>
      </c>
      <c r="DP9" s="87">
        <f>(DO9-DX9)/DX9</f>
        <v>-0.649191969877346</v>
      </c>
      <c r="DQ9" s="103">
        <v>5241.8177</v>
      </c>
      <c r="DR9" s="104"/>
      <c r="DS9" s="103">
        <v>9511.3416</v>
      </c>
      <c r="DT9" s="104" t="e">
        <f t="shared" si="50"/>
        <v>#DIV/0!</v>
      </c>
      <c r="DU9" s="103"/>
      <c r="DV9" s="103">
        <v>14974.0656</v>
      </c>
      <c r="DW9" s="104">
        <f t="shared" si="51"/>
        <v>8.03260118954264</v>
      </c>
      <c r="DX9" s="103">
        <v>12893.95</v>
      </c>
      <c r="DY9" s="104">
        <f t="shared" si="52"/>
        <v>2.98860653558637</v>
      </c>
      <c r="DZ9" s="103">
        <v>11748.48</v>
      </c>
      <c r="EA9" s="104">
        <f t="shared" si="53"/>
        <v>1.28398129031506</v>
      </c>
      <c r="EB9" s="103">
        <v>11974.4</v>
      </c>
      <c r="EC9" s="104">
        <f t="shared" si="54"/>
        <v>0.89244076245083</v>
      </c>
      <c r="ED9" s="103">
        <v>3146.1531</v>
      </c>
      <c r="EE9" s="104">
        <f t="shared" si="55"/>
        <v>-0.625512799911442</v>
      </c>
      <c r="EF9" s="103">
        <v>7805.1603</v>
      </c>
      <c r="EG9" s="104">
        <f t="shared" si="56"/>
        <v>-0.0109145272826116</v>
      </c>
      <c r="EH9" s="103">
        <v>8218.7359</v>
      </c>
      <c r="EI9" s="104">
        <f t="shared" si="57"/>
        <v>-0.419828681954391</v>
      </c>
      <c r="EJ9" s="103">
        <v>7682.7804</v>
      </c>
      <c r="EK9" s="104">
        <f t="shared" si="58"/>
        <v>-0.266761240595655</v>
      </c>
      <c r="EL9" s="103">
        <v>7590.2016</v>
      </c>
      <c r="EM9" s="104">
        <f t="shared" si="59"/>
        <v>-0.0468043551972271</v>
      </c>
      <c r="EN9" s="93">
        <f t="shared" si="64"/>
        <v>105310.3874</v>
      </c>
      <c r="EO9" s="104">
        <f t="shared" si="60"/>
        <v>0.0808030690104621</v>
      </c>
      <c r="EP9" s="478">
        <v>32176</v>
      </c>
      <c r="EQ9" s="104">
        <f>(EP9-FP9)/FP9</f>
        <v>-0.341478889093551</v>
      </c>
      <c r="ER9" s="103">
        <v>0</v>
      </c>
      <c r="ES9" s="104">
        <f>(ER9-FQ9)/FQ9</f>
        <v>-1</v>
      </c>
      <c r="ET9" s="103">
        <v>0</v>
      </c>
      <c r="EU9" s="104">
        <f>(ET9-FR9)/FR9</f>
        <v>-1</v>
      </c>
      <c r="EV9" s="103">
        <v>1657.78</v>
      </c>
      <c r="EW9" s="104">
        <f>(EV9-FS9)/FS9</f>
        <v>-0.956432682452498</v>
      </c>
      <c r="EX9" s="103">
        <v>3232.6954</v>
      </c>
      <c r="EY9" s="104">
        <f>(EX9-FT9)/FT9</f>
        <v>-0.909119917910657</v>
      </c>
      <c r="EZ9" s="103">
        <v>5143.86</v>
      </c>
      <c r="FA9" s="104">
        <f>(EZ9-FU9)/FU9</f>
        <v>-0.85180466724287</v>
      </c>
      <c r="FB9" s="103">
        <v>6327.49</v>
      </c>
      <c r="FC9" s="104">
        <f>(FB9-FV9)/FV9</f>
        <v>-0.810763824505787</v>
      </c>
      <c r="FD9" s="103">
        <v>8401.23</v>
      </c>
      <c r="FE9" s="104">
        <f>(FD9-FW9)/FW9</f>
        <v>-0.761457451943553</v>
      </c>
      <c r="FF9" s="103">
        <v>7891.29</v>
      </c>
      <c r="FG9" s="104">
        <f>(FF9-FX9)/FX9</f>
        <v>-0.770395123512468</v>
      </c>
      <c r="FH9" s="103">
        <v>14166.05</v>
      </c>
      <c r="FI9" s="104">
        <f>(FH9-FY9)/FY9</f>
        <v>-0.665057691398307</v>
      </c>
      <c r="FJ9" s="103">
        <v>10477.87</v>
      </c>
      <c r="FK9" s="104">
        <f>(FJ9-GA9)/GA9</f>
        <v>-0.660976185853879</v>
      </c>
      <c r="FL9" s="103">
        <v>7962.9</v>
      </c>
      <c r="FM9" s="456">
        <f>(FL9-GC9)/GC9</f>
        <v>-0.646046139485265</v>
      </c>
      <c r="FN9" s="95">
        <v>97437.1654</v>
      </c>
      <c r="FO9" s="96">
        <f>(FN9-(FP9+FQ9+FR9+FS9+FT9+FU9+FV9+FW9+FX9+FY9+GA9+GC9))/(FP9+FQ9+FR9+FS9+FT9+FU9+FV9+FW9+FX9+FY9+GA9+GC9)</f>
        <v>-0.775860181359784</v>
      </c>
      <c r="FP9" s="456">
        <v>48861</v>
      </c>
      <c r="FQ9" s="456">
        <v>42276</v>
      </c>
      <c r="FR9" s="456">
        <v>36525</v>
      </c>
      <c r="FS9" s="456">
        <v>38051</v>
      </c>
      <c r="FT9" s="456">
        <v>35571</v>
      </c>
      <c r="FU9" s="456">
        <v>34710</v>
      </c>
      <c r="FV9" s="480">
        <v>33437</v>
      </c>
      <c r="FW9" s="480">
        <v>35219</v>
      </c>
      <c r="FX9" s="480">
        <v>34369</v>
      </c>
      <c r="FY9" s="480">
        <v>42294</v>
      </c>
      <c r="FZ9" s="413">
        <f>(FY9-HA9)/HA9</f>
        <v>-0.388549949400029</v>
      </c>
      <c r="GA9" s="480">
        <v>30906</v>
      </c>
      <c r="GB9" s="413">
        <f>(GA9-HC9)/HC9</f>
        <v>-0.485063063363268</v>
      </c>
      <c r="GC9" s="480">
        <v>22497</v>
      </c>
      <c r="GD9" s="413">
        <f>(GC9-HE9)/HE9</f>
        <v>-0.508724040792261</v>
      </c>
      <c r="GE9" s="414">
        <f>FP9+FQ9+FR9+FS9+FT9+FU9+FV9+FW9+FX9+FY9+GA9+GC9</f>
        <v>434716</v>
      </c>
      <c r="GF9" s="481">
        <f>(GE9-HG9)/HG9</f>
        <v>-0.351034544531693</v>
      </c>
      <c r="GG9" s="415"/>
      <c r="GH9" s="392"/>
      <c r="GI9" s="417">
        <v>43743</v>
      </c>
      <c r="GJ9" s="104">
        <f>(GI9-HL9)/HL9</f>
        <v>-0.241691947646702</v>
      </c>
      <c r="GK9" s="103">
        <v>52486</v>
      </c>
      <c r="GL9" s="104">
        <f>(GK9-HN9)/HN9</f>
        <v>-0.472502512562814</v>
      </c>
      <c r="GM9" s="103">
        <v>53040</v>
      </c>
      <c r="GN9" s="104">
        <f>(GM9-HP9)/HP9</f>
        <v>-0.0669528198993773</v>
      </c>
      <c r="GO9" s="103">
        <v>57218</v>
      </c>
      <c r="GP9" s="104">
        <f>(GO9-HR9)/HR9</f>
        <v>-0.144467703349282</v>
      </c>
      <c r="GQ9" s="103">
        <v>53423</v>
      </c>
      <c r="GR9" s="104">
        <f>(GQ9-HT9)/HT9</f>
        <v>-0.136318810120443</v>
      </c>
      <c r="GS9" s="103">
        <v>58100</v>
      </c>
      <c r="GT9" s="104">
        <f>(GS9-HW9)/HW9</f>
        <v>-0.107101692049978</v>
      </c>
      <c r="GU9" s="103">
        <v>59610</v>
      </c>
      <c r="GV9" s="104">
        <f>(GU9-HY9)/HY9</f>
        <v>-0.0227868852459016</v>
      </c>
      <c r="GW9" s="103">
        <v>61763</v>
      </c>
      <c r="GX9" s="104">
        <f>(GW9-IA9)/IA9</f>
        <v>-0.0563042415352646</v>
      </c>
      <c r="GY9" s="103">
        <v>55495</v>
      </c>
      <c r="GZ9" s="104">
        <f>(GY9-IC9)/IC9</f>
        <v>-0.0625844594594595</v>
      </c>
      <c r="HA9" s="103">
        <v>69170</v>
      </c>
      <c r="HB9" s="104">
        <f>(HA9-IE9)/IE9</f>
        <v>0.0202064896755162</v>
      </c>
      <c r="HC9" s="103">
        <v>60019</v>
      </c>
      <c r="HD9" s="104">
        <f>(HC9-IG9)/IG9</f>
        <v>0.025965811965812</v>
      </c>
      <c r="HE9" s="103">
        <v>45793</v>
      </c>
      <c r="HF9" s="104">
        <f>(HE9-II9)/II9</f>
        <v>-0.135687592012382</v>
      </c>
      <c r="HG9" s="414">
        <f>GI9+GK9+GM9+GO9+GQ9+GS9+GU9+GW9+GY9+HA9+HC9+HE9</f>
        <v>669860</v>
      </c>
      <c r="HH9" s="103">
        <f>HE9+HC9+HA9+GY9+GW9+GU9+GS9+GQ9+GO9+GM9+GK9+GI9</f>
        <v>669860</v>
      </c>
      <c r="HI9" s="394"/>
      <c r="HJ9" s="411"/>
      <c r="HK9" s="420"/>
      <c r="HL9" s="417">
        <v>57685</v>
      </c>
      <c r="HM9" s="418">
        <f>(HL9-IN9)/IN9</f>
        <v>-0.0824987653456992</v>
      </c>
      <c r="HN9" s="421">
        <v>99500</v>
      </c>
      <c r="HO9" s="418">
        <f>(HN9-IP9)/IP9</f>
        <v>-0.14874562320504</v>
      </c>
      <c r="HP9" s="421">
        <v>56846</v>
      </c>
      <c r="HQ9" s="423">
        <f>(HP9-IR9)/IR9</f>
        <v>-0.0624886616640554</v>
      </c>
      <c r="HR9" s="439">
        <v>66880</v>
      </c>
      <c r="HS9" s="304">
        <f>(HR9-IT9)/IT9</f>
        <v>-0.0463697028460617</v>
      </c>
      <c r="HT9" s="439">
        <v>61855</v>
      </c>
      <c r="HU9" s="304">
        <f>(HT9-IV9)/IV9</f>
        <v>-0.0681961977644542</v>
      </c>
      <c r="HV9" s="423"/>
      <c r="HW9" s="439">
        <v>65069</v>
      </c>
      <c r="HX9" s="304">
        <f>(HW9-IX9)/IX9</f>
        <v>-0.0420745800638921</v>
      </c>
      <c r="HY9" s="439">
        <v>61000</v>
      </c>
      <c r="HZ9" s="304">
        <f>(HY9-IZ9)/IZ9</f>
        <v>-0.0231403635198975</v>
      </c>
      <c r="IA9" s="439">
        <v>65448</v>
      </c>
      <c r="IB9" s="422">
        <f>(IA9-JB9)/JB9</f>
        <v>-0.00616515321772406</v>
      </c>
      <c r="IC9" s="439">
        <v>59200</v>
      </c>
      <c r="ID9" s="425">
        <f>(IC9-JD9)/JD9</f>
        <v>-0.00442291845349209</v>
      </c>
      <c r="IE9" s="439">
        <v>67800</v>
      </c>
      <c r="IF9" s="425">
        <f>(IE9-JF9)/JF9</f>
        <v>-0.0186997047415041</v>
      </c>
      <c r="IG9" s="439">
        <v>58500</v>
      </c>
      <c r="IH9" s="309">
        <f>(IG9-JH9)/JH9</f>
        <v>-0.00847457627118644</v>
      </c>
      <c r="II9" s="439">
        <v>52982</v>
      </c>
      <c r="IJ9" s="309">
        <f>(II9-JJ9)/JJ9</f>
        <v>-0.00278562017692452</v>
      </c>
      <c r="IK9" s="391">
        <f>HL9+HN9+HP9+HR9+HT9+HW9+HY9+IA9+IC9+IE9+IG9+II9</f>
        <v>772765</v>
      </c>
      <c r="IL9" s="104">
        <f>IK9/JL9-1</f>
        <v>-0.0504451497999221</v>
      </c>
      <c r="IM9" s="392"/>
      <c r="IN9" s="417">
        <v>62871.85</v>
      </c>
      <c r="IO9" s="104">
        <f>IN9/JP9-1</f>
        <v>-0.0356908135649632</v>
      </c>
      <c r="IP9" s="103">
        <v>116886.33</v>
      </c>
      <c r="IQ9" s="104">
        <f>IP9/JQ9-1</f>
        <v>-0.0962192183740249</v>
      </c>
      <c r="IR9" s="103">
        <v>60635</v>
      </c>
      <c r="IS9" s="394">
        <f>(IR9-JR9)/JR9</f>
        <v>0.0608618183523233</v>
      </c>
      <c r="IT9" s="482">
        <v>70132</v>
      </c>
      <c r="IU9" s="104">
        <f>(IT9-JS9)/JS9</f>
        <v>0.100001270462883</v>
      </c>
      <c r="IV9" s="482">
        <v>66382</v>
      </c>
      <c r="IW9" s="104">
        <f>(IV9-JT9)/JT9</f>
        <v>0.134885390799636</v>
      </c>
      <c r="IX9" s="482">
        <v>67927</v>
      </c>
      <c r="IY9" s="104">
        <f>(IX9-JU9)/JU9</f>
        <v>0.138423723833994</v>
      </c>
      <c r="IZ9" s="482">
        <v>62445</v>
      </c>
      <c r="JA9" s="104">
        <f>(IZ9-JV9)/JV9</f>
        <v>-0.0386841680696279</v>
      </c>
      <c r="JB9" s="103">
        <v>65854</v>
      </c>
      <c r="JC9" s="104">
        <f>(JB9-JW9)/JW9</f>
        <v>0.0365028299451639</v>
      </c>
      <c r="JD9" s="103">
        <v>59463</v>
      </c>
      <c r="JE9" s="394">
        <f>(JD9-JX9)/JX9</f>
        <v>0.01345720089267</v>
      </c>
      <c r="JF9" s="103">
        <v>69092</v>
      </c>
      <c r="JG9" s="418">
        <f>(JF9-JY9)/JY9</f>
        <v>-0.0461714743257888</v>
      </c>
      <c r="JH9" s="103">
        <v>59000</v>
      </c>
      <c r="JI9" s="418">
        <f>(JH9-JZ9)/JZ9</f>
        <v>0.00693333333333333</v>
      </c>
      <c r="JJ9" s="103">
        <v>53130</v>
      </c>
      <c r="JK9" s="418">
        <f>(JJ9-KA9)/KA9</f>
        <v>-0.100812112380715</v>
      </c>
      <c r="JL9" s="399">
        <f t="shared" si="62"/>
        <v>813818.18</v>
      </c>
      <c r="JM9" s="398">
        <f>JL9/JO9-1</f>
        <v>0.00361762899213658</v>
      </c>
      <c r="JN9" s="400"/>
      <c r="JO9" s="417">
        <v>810884.7</v>
      </c>
      <c r="JP9" s="103">
        <v>65198.85</v>
      </c>
      <c r="JQ9" s="103">
        <v>129330.4</v>
      </c>
      <c r="JR9" s="103">
        <v>57156.36</v>
      </c>
      <c r="JS9" s="103">
        <v>63756.29</v>
      </c>
      <c r="JT9" s="103">
        <v>58492.25</v>
      </c>
      <c r="JU9" s="103">
        <v>59667.59</v>
      </c>
      <c r="JV9" s="103">
        <v>64957.84</v>
      </c>
      <c r="JW9" s="103">
        <v>63534.8</v>
      </c>
      <c r="JX9" s="103">
        <v>58673.42</v>
      </c>
      <c r="JY9" s="103">
        <v>72436.5</v>
      </c>
      <c r="JZ9" s="103">
        <v>58593.75</v>
      </c>
      <c r="KA9" s="103">
        <v>59086.65</v>
      </c>
    </row>
    <row r="10" s="284" customFormat="1" ht="28.8" hidden="1" customHeight="1" spans="1:287">
      <c r="A10" s="298" t="s">
        <v>94</v>
      </c>
      <c r="B10" s="164" t="s">
        <v>206</v>
      </c>
      <c r="C10" s="109">
        <v>75.4816</v>
      </c>
      <c r="D10" s="359">
        <f t="shared" si="0"/>
        <v>-0.230021585052861</v>
      </c>
      <c r="E10" s="109">
        <v>84.6235</v>
      </c>
      <c r="F10" s="359">
        <f t="shared" si="1"/>
        <v>-0.126873579371049</v>
      </c>
      <c r="G10" s="109">
        <v>79.3692</v>
      </c>
      <c r="H10" s="359">
        <f t="shared" si="2"/>
        <v>-0.142625663804762</v>
      </c>
      <c r="I10" s="109">
        <v>78.3745</v>
      </c>
      <c r="J10" s="359">
        <f t="shared" si="3"/>
        <v>-0.156693982603306</v>
      </c>
      <c r="K10" s="109">
        <v>75.5822</v>
      </c>
      <c r="L10" s="359">
        <f t="shared" si="4"/>
        <v>-0.171472199963387</v>
      </c>
      <c r="M10" s="109">
        <v>74.7909</v>
      </c>
      <c r="N10" s="359">
        <f t="shared" si="5"/>
        <v>-0.140449089546681</v>
      </c>
      <c r="O10" s="109">
        <v>71.2988</v>
      </c>
      <c r="P10" s="359">
        <f t="shared" si="6"/>
        <v>-0.178956047499286</v>
      </c>
      <c r="Q10" s="127"/>
      <c r="R10" s="127"/>
      <c r="S10" s="109">
        <f t="shared" si="7"/>
        <v>539.5207</v>
      </c>
      <c r="T10" s="359">
        <f t="shared" si="8"/>
        <v>-0.261389296018062</v>
      </c>
      <c r="U10" s="359"/>
      <c r="V10" s="109">
        <v>98.0308</v>
      </c>
      <c r="W10" s="359">
        <f t="shared" si="9"/>
        <v>-0.0195665045125776</v>
      </c>
      <c r="X10" s="109">
        <v>96.9201</v>
      </c>
      <c r="Y10" s="359">
        <f t="shared" si="10"/>
        <v>-0.0829836494601701</v>
      </c>
      <c r="Z10" s="109">
        <v>92.5724</v>
      </c>
      <c r="AA10" s="359">
        <f t="shared" si="11"/>
        <v>-0.020566822865474</v>
      </c>
      <c r="AB10" s="109">
        <v>92.9372</v>
      </c>
      <c r="AC10" s="359">
        <f t="shared" si="12"/>
        <v>-0.0403708942971903</v>
      </c>
      <c r="AD10" s="109">
        <v>91.2247</v>
      </c>
      <c r="AE10" s="359">
        <f t="shared" si="13"/>
        <v>-0.0443132127734023</v>
      </c>
      <c r="AF10" s="109">
        <v>87.0116</v>
      </c>
      <c r="AG10" s="359">
        <f t="shared" si="14"/>
        <v>-0.029643235117325</v>
      </c>
      <c r="AH10" s="109">
        <v>86.8392</v>
      </c>
      <c r="AI10" s="359">
        <f t="shared" si="15"/>
        <v>-0.0226457013009376</v>
      </c>
      <c r="AJ10" s="109">
        <v>84.9174</v>
      </c>
      <c r="AK10" s="359">
        <f t="shared" si="16"/>
        <v>-0.0143533672261299</v>
      </c>
      <c r="AL10" s="109">
        <v>84.3078</v>
      </c>
      <c r="AM10" s="359">
        <f t="shared" si="17"/>
        <v>-0.0112818371803383</v>
      </c>
      <c r="AN10" s="109">
        <v>84.4888</v>
      </c>
      <c r="AO10" s="359">
        <f t="shared" si="18"/>
        <v>-0.0417185568296529</v>
      </c>
      <c r="AP10" s="109">
        <v>82.6305</v>
      </c>
      <c r="AQ10" s="359">
        <f t="shared" si="19"/>
        <v>-0.0400954903464138</v>
      </c>
      <c r="AR10" s="109">
        <v>77.1923</v>
      </c>
      <c r="AS10" s="359">
        <f t="shared" si="20"/>
        <v>-0.0934391093207748</v>
      </c>
      <c r="AT10" s="107">
        <f t="shared" si="21"/>
        <v>1059.0728</v>
      </c>
      <c r="AU10" s="359">
        <f t="shared" si="22"/>
        <v>-0.0388126894504738</v>
      </c>
      <c r="AV10" s="360"/>
      <c r="AW10" s="450">
        <v>99.9872</v>
      </c>
      <c r="AX10" s="361">
        <v>-0.23338396202618</v>
      </c>
      <c r="AY10" s="108">
        <v>105.6907</v>
      </c>
      <c r="AZ10" s="361">
        <f t="shared" si="23"/>
        <v>-0.163152177183478</v>
      </c>
      <c r="BA10" s="108">
        <v>94.5163</v>
      </c>
      <c r="BB10" s="361">
        <f t="shared" si="24"/>
        <v>-0.191753890884214</v>
      </c>
      <c r="BC10" s="108">
        <v>96.847</v>
      </c>
      <c r="BD10" s="361">
        <f t="shared" si="25"/>
        <v>-0.122209291364846</v>
      </c>
      <c r="BE10" s="483">
        <v>95.4546</v>
      </c>
      <c r="BF10" s="361">
        <f t="shared" si="26"/>
        <v>-0.100220857091417</v>
      </c>
      <c r="BG10" s="363">
        <v>89.6697</v>
      </c>
      <c r="BH10" s="361">
        <f t="shared" si="27"/>
        <v>-0.1449124168821</v>
      </c>
      <c r="BI10" s="363">
        <v>88.8513</v>
      </c>
      <c r="BJ10" s="361">
        <f t="shared" si="28"/>
        <v>-0.137650678416833</v>
      </c>
      <c r="BK10" s="363">
        <v>86.154</v>
      </c>
      <c r="BL10" s="361">
        <f t="shared" si="29"/>
        <v>-0.186434339847852</v>
      </c>
      <c r="BM10" s="363">
        <v>85.2698</v>
      </c>
      <c r="BN10" s="361">
        <f t="shared" si="30"/>
        <v>-0.162784623949305</v>
      </c>
      <c r="BO10" s="363">
        <v>88.167</v>
      </c>
      <c r="BP10" s="361">
        <f t="shared" si="31"/>
        <v>-0.154238496168187</v>
      </c>
      <c r="BQ10" s="363">
        <v>86.082</v>
      </c>
      <c r="BR10" s="361">
        <f t="shared" si="32"/>
        <v>-0.159438375707084</v>
      </c>
      <c r="BS10" s="363">
        <v>85.1485</v>
      </c>
      <c r="BT10" s="361">
        <f t="shared" si="33"/>
        <v>-0.143713803295076</v>
      </c>
      <c r="BU10" s="108">
        <f t="shared" si="34"/>
        <v>1101.8381</v>
      </c>
      <c r="BV10" s="361">
        <f t="shared" si="35"/>
        <v>-0.160069972945248</v>
      </c>
      <c r="BW10" s="364"/>
      <c r="BX10" s="450">
        <v>130.4267</v>
      </c>
      <c r="BY10" s="361">
        <f t="shared" si="36"/>
        <v>-0.0204506656793068</v>
      </c>
      <c r="BZ10" s="450">
        <v>126.2962</v>
      </c>
      <c r="CA10" s="361">
        <f t="shared" si="37"/>
        <v>-0.0784191823004459</v>
      </c>
      <c r="CB10" s="108">
        <v>116.94</v>
      </c>
      <c r="CC10" s="361">
        <f t="shared" si="38"/>
        <v>-0.0891253531450258</v>
      </c>
      <c r="CD10" s="108">
        <v>110.3304</v>
      </c>
      <c r="CE10" s="361">
        <v>-0.0294788250693164</v>
      </c>
      <c r="CF10" s="363">
        <v>106.0867</v>
      </c>
      <c r="CG10" s="361">
        <f t="shared" si="39"/>
        <v>-0.096069753650257</v>
      </c>
      <c r="CH10" s="363">
        <v>104.8661</v>
      </c>
      <c r="CI10" s="361">
        <f t="shared" si="40"/>
        <v>-0.095458666176728</v>
      </c>
      <c r="CJ10" s="363">
        <v>103.034</v>
      </c>
      <c r="CK10" s="361">
        <f t="shared" si="41"/>
        <v>-0.121777753532826</v>
      </c>
      <c r="CL10" s="108">
        <v>105.8968</v>
      </c>
      <c r="CM10" s="361">
        <f t="shared" si="42"/>
        <v>-0.104952744471923</v>
      </c>
      <c r="CN10" s="108">
        <f>100.995+0.8543</f>
        <v>101.8493</v>
      </c>
      <c r="CO10" s="361">
        <f t="shared" si="43"/>
        <v>-0.137300226666712</v>
      </c>
      <c r="CP10" s="108">
        <f>103.2384+CP12</f>
        <v>104.2457</v>
      </c>
      <c r="CQ10" s="361">
        <f t="shared" si="44"/>
        <v>-0.128275477983971</v>
      </c>
      <c r="CR10" s="108">
        <v>102.4101</v>
      </c>
      <c r="CS10" s="361">
        <f t="shared" si="45"/>
        <v>-0.0156272978846724</v>
      </c>
      <c r="CT10" s="363">
        <v>99.4393</v>
      </c>
      <c r="CU10" s="361">
        <f t="shared" si="46"/>
        <v>-0.137904966010988</v>
      </c>
      <c r="CV10" s="108">
        <f t="shared" si="47"/>
        <v>1311.8213</v>
      </c>
      <c r="CW10" s="361">
        <f t="shared" si="48"/>
        <v>-0.0878808181766729</v>
      </c>
      <c r="CX10" s="365">
        <f t="shared" si="49"/>
        <v>-0.0290088575247949</v>
      </c>
      <c r="CY10" s="365"/>
      <c r="CZ10" s="453">
        <v>133.1497</v>
      </c>
      <c r="DA10" s="450">
        <v>137.043</v>
      </c>
      <c r="DB10" s="450">
        <v>128.3821</v>
      </c>
      <c r="DC10" s="450">
        <v>113.6816</v>
      </c>
      <c r="DD10" s="108">
        <v>117.3616</v>
      </c>
      <c r="DE10" s="108">
        <v>115.9329</v>
      </c>
      <c r="DF10" s="108">
        <v>117.3211</v>
      </c>
      <c r="DG10" s="108">
        <v>118.3142</v>
      </c>
      <c r="DH10" s="108">
        <v>118.0588</v>
      </c>
      <c r="DI10" s="108">
        <v>119.5856</v>
      </c>
      <c r="DJ10" s="108">
        <v>104.0359</v>
      </c>
      <c r="DK10" s="108">
        <v>115.3461</v>
      </c>
      <c r="DL10" s="108">
        <v>1438.2126</v>
      </c>
      <c r="DM10" s="368">
        <v>-0.104342945837697</v>
      </c>
      <c r="DN10" s="369"/>
      <c r="DO10" s="370">
        <v>136.862</v>
      </c>
      <c r="DP10" s="371">
        <f>(DO10-DX10)/DX10</f>
        <v>0.000769248768616964</v>
      </c>
      <c r="DQ10" s="374">
        <v>147.0029</v>
      </c>
      <c r="DR10" s="373"/>
      <c r="DS10" s="374">
        <v>136.2224</v>
      </c>
      <c r="DT10" s="373" t="e">
        <f t="shared" si="50"/>
        <v>#DIV/0!</v>
      </c>
      <c r="DU10" s="374"/>
      <c r="DV10" s="374">
        <v>136.2181</v>
      </c>
      <c r="DW10" s="373">
        <f t="shared" si="51"/>
        <v>0.566085306967119</v>
      </c>
      <c r="DX10" s="374">
        <v>136.7568</v>
      </c>
      <c r="DY10" s="373">
        <f t="shared" si="52"/>
        <v>0.961796012049921</v>
      </c>
      <c r="DZ10" s="374">
        <v>133.481</v>
      </c>
      <c r="EA10" s="373">
        <f t="shared" si="53"/>
        <v>0.729252493846353</v>
      </c>
      <c r="EB10" s="374">
        <v>132.9982</v>
      </c>
      <c r="EC10" s="373">
        <f t="shared" si="54"/>
        <v>0.384532583801791</v>
      </c>
      <c r="ED10" s="374">
        <v>119.4692</v>
      </c>
      <c r="EE10" s="373">
        <f t="shared" si="55"/>
        <v>-0.104764331210191</v>
      </c>
      <c r="EF10" s="374">
        <v>129.9068</v>
      </c>
      <c r="EG10" s="373">
        <f t="shared" si="56"/>
        <v>-0.0766451062619944</v>
      </c>
      <c r="EH10" s="374">
        <v>133.9978</v>
      </c>
      <c r="EI10" s="373">
        <f t="shared" si="57"/>
        <v>-0.209778852391343</v>
      </c>
      <c r="EJ10" s="374">
        <v>130.2118</v>
      </c>
      <c r="EK10" s="373">
        <f t="shared" si="58"/>
        <v>-0.0820458230525202</v>
      </c>
      <c r="EL10" s="374">
        <v>132.6356</v>
      </c>
      <c r="EM10" s="373">
        <f t="shared" si="59"/>
        <v>0.0259560643564357</v>
      </c>
      <c r="EN10" s="372">
        <f t="shared" si="64"/>
        <v>1605.7626</v>
      </c>
      <c r="EO10" s="373">
        <f t="shared" si="60"/>
        <v>0.308519345480622</v>
      </c>
      <c r="EP10" s="375">
        <v>182.38</v>
      </c>
      <c r="EQ10" s="373">
        <f>(EP10-FP10)/FP10</f>
        <v>-0.0715267525327089</v>
      </c>
      <c r="ER10" s="374">
        <v>0</v>
      </c>
      <c r="ES10" s="373">
        <f>(ER10-FQ10)/FQ10</f>
        <v>-1</v>
      </c>
      <c r="ET10" s="374">
        <v>0</v>
      </c>
      <c r="EU10" s="373">
        <f>(ET10-FR10)/FR10</f>
        <v>-1</v>
      </c>
      <c r="EV10" s="374">
        <v>86.98</v>
      </c>
      <c r="EW10" s="373">
        <f>(EV10-FS10)/FS10</f>
        <v>-0.560485093481556</v>
      </c>
      <c r="EX10" s="374">
        <v>69.71</v>
      </c>
      <c r="EY10" s="373">
        <f>(EX10-FT10)/FT10</f>
        <v>-0.602927773980406</v>
      </c>
      <c r="EZ10" s="374">
        <v>77.19</v>
      </c>
      <c r="FA10" s="373">
        <f>(EZ10-FU10)/FU10</f>
        <v>-0.603666050523721</v>
      </c>
      <c r="FB10" s="374">
        <v>96.06</v>
      </c>
      <c r="FC10" s="373">
        <f>(FB10-FV10)/FV10</f>
        <v>-0.493728259723833</v>
      </c>
      <c r="FD10" s="374">
        <v>133.45</v>
      </c>
      <c r="FE10" s="373">
        <f>(FD10-FW10)/FW10</f>
        <v>-0.230880064549594</v>
      </c>
      <c r="FF10" s="374">
        <v>140.69</v>
      </c>
      <c r="FG10" s="373">
        <f>(FF10-FX10)/FX10</f>
        <v>-0.338738484677571</v>
      </c>
      <c r="FH10" s="374">
        <v>169.57</v>
      </c>
      <c r="FI10" s="373">
        <f>(FH10-FY10)/FY10</f>
        <v>-0.279774040095141</v>
      </c>
      <c r="FJ10" s="374">
        <v>141.85</v>
      </c>
      <c r="FK10" s="373">
        <f>(FJ10-GA10)/GA10</f>
        <v>-0.396562725996512</v>
      </c>
      <c r="FL10" s="374">
        <v>129.28</v>
      </c>
      <c r="FM10" s="456">
        <f>(FL10-GC10)/GC10</f>
        <v>-0.386688173063238</v>
      </c>
      <c r="FN10" s="359">
        <v>1227.16</v>
      </c>
      <c r="FO10" s="358">
        <f>(FN10-(FP10+FQ10+FR10+FS10+FT10+FU10+FV10+FW10+FX10+FY10+GA10+GC10))/(FP10+FQ10+FR10+FS10+FT10+FU10+FV10+FW10+FX10+FY10+GA10+GC10)</f>
        <v>-0.533205777299337</v>
      </c>
      <c r="FP10" s="360">
        <v>196.43</v>
      </c>
      <c r="FQ10" s="360">
        <v>303.96</v>
      </c>
      <c r="FR10" s="360">
        <v>302.99</v>
      </c>
      <c r="FS10" s="360">
        <v>197.9</v>
      </c>
      <c r="FT10" s="360">
        <v>175.56</v>
      </c>
      <c r="FU10" s="360">
        <v>194.76</v>
      </c>
      <c r="FV10" s="484">
        <v>189.74</v>
      </c>
      <c r="FW10" s="484">
        <v>173.51</v>
      </c>
      <c r="FX10" s="484">
        <v>212.76</v>
      </c>
      <c r="FY10" s="484">
        <v>235.44</v>
      </c>
      <c r="FZ10" s="376">
        <f>(FY10-HA10)/HA10</f>
        <v>-0.0658254969646471</v>
      </c>
      <c r="GA10" s="484">
        <v>235.07</v>
      </c>
      <c r="GB10" s="376">
        <f>(GA10-HC10)/HC10</f>
        <v>0.0840212128199216</v>
      </c>
      <c r="GC10" s="484">
        <v>210.79</v>
      </c>
      <c r="GD10" s="376">
        <f>(GC10-HE10)/HE10</f>
        <v>-0.1766015625</v>
      </c>
      <c r="GE10" s="375">
        <f>FP10+FQ10+FR10+FS10+FT10+FU10+FV10+FW10+FX10+FY10+GA10+GC10</f>
        <v>2628.91</v>
      </c>
      <c r="GF10" s="377">
        <f>(GE10-HG10)/HG10</f>
        <v>-0.143649630281117</v>
      </c>
      <c r="GG10" s="317"/>
      <c r="GH10" s="378"/>
      <c r="GI10" s="379">
        <v>197.65</v>
      </c>
      <c r="GJ10" s="376">
        <f>(GI10-HL10)/HL10</f>
        <v>-0.334511784511784</v>
      </c>
      <c r="GK10" s="375">
        <v>390.42</v>
      </c>
      <c r="GL10" s="376">
        <f>(GK10-HN10)/HN10</f>
        <v>-0.0349038414001088</v>
      </c>
      <c r="GM10" s="375">
        <v>319.85</v>
      </c>
      <c r="GN10" s="376">
        <f>(GM10-HP10)/HP10</f>
        <v>-0.00987493808816245</v>
      </c>
      <c r="GO10" s="375">
        <v>220.29</v>
      </c>
      <c r="GP10" s="376">
        <f>(GO10-HR10)/HR10</f>
        <v>-0.1394921875</v>
      </c>
      <c r="GQ10" s="375">
        <v>217.09</v>
      </c>
      <c r="GR10" s="376">
        <f>(GQ10-HT10)/HT10</f>
        <v>-0.155291828793774</v>
      </c>
      <c r="GS10" s="375">
        <v>251.01</v>
      </c>
      <c r="GT10" s="376">
        <f>(GS10-HW10)/HW10</f>
        <v>-0.0853071933532542</v>
      </c>
      <c r="GU10" s="375">
        <v>253.04</v>
      </c>
      <c r="GV10" s="376">
        <f>(GU10-HY10)/HY10</f>
        <v>-0.0731135531135531</v>
      </c>
      <c r="GW10" s="375">
        <v>245.8</v>
      </c>
      <c r="GX10" s="376">
        <f>(GW10-IA10)/IA10</f>
        <v>-0.0582375478927203</v>
      </c>
      <c r="GY10" s="375">
        <v>249.87</v>
      </c>
      <c r="GZ10" s="376">
        <f>(GY10-IC10)/IC10</f>
        <v>-0.0462977099236641</v>
      </c>
      <c r="HA10" s="375">
        <v>252.03</v>
      </c>
      <c r="HB10" s="376">
        <f>(HA10-IE10)/IE10</f>
        <v>-0.0717127071823204</v>
      </c>
      <c r="HC10" s="375">
        <v>216.85</v>
      </c>
      <c r="HD10" s="376">
        <f>(HC10-IG10)/IG10</f>
        <v>-0.103925619834711</v>
      </c>
      <c r="HE10" s="375">
        <v>256</v>
      </c>
      <c r="HF10" s="376">
        <f>(HE10-II10)/II10</f>
        <v>-0.135135135135135</v>
      </c>
      <c r="HG10" s="375">
        <f>GI10+GK10+GM10+GO10+GQ10+GS10+GU10+GW10+GY10+HA10+HC10+HE10</f>
        <v>3069.9</v>
      </c>
      <c r="HH10" s="375">
        <f>HE10+HC10+HA10+GY10+GW10+GU10+GS10+GQ10+GO10+GM10+GK10+GI10</f>
        <v>3069.9</v>
      </c>
      <c r="HI10" s="377"/>
      <c r="HJ10" s="369"/>
      <c r="HK10" s="485"/>
      <c r="HL10" s="379">
        <v>297</v>
      </c>
      <c r="HM10" s="380">
        <f>(HL10-IN10)/IN10</f>
        <v>0.0102040816326531</v>
      </c>
      <c r="HN10" s="462">
        <v>404.54</v>
      </c>
      <c r="HO10" s="380">
        <f>(HN10-IP10)/IP10</f>
        <v>0.00782262082710524</v>
      </c>
      <c r="HP10" s="462">
        <v>323.04</v>
      </c>
      <c r="HQ10" s="466">
        <f>(HP10-IR10)/IR10</f>
        <v>-0.00173053152039556</v>
      </c>
      <c r="HR10" s="464">
        <v>256</v>
      </c>
      <c r="HS10" s="465">
        <f>(HR10-IT10)/IT10</f>
        <v>0.00392156862745098</v>
      </c>
      <c r="HT10" s="464">
        <v>257</v>
      </c>
      <c r="HU10" s="465">
        <f>(HT10-IV10)/IV10</f>
        <v>0.0118110236220472</v>
      </c>
      <c r="HV10" s="466"/>
      <c r="HW10" s="464">
        <v>274.42</v>
      </c>
      <c r="HX10" s="465">
        <f>(HW10-IX10)/IX10</f>
        <v>0.0126199261992621</v>
      </c>
      <c r="HY10" s="464">
        <v>273</v>
      </c>
      <c r="HZ10" s="465">
        <f>(HY10-IZ10)/IZ10</f>
        <v>0.0111111111111111</v>
      </c>
      <c r="IA10" s="464">
        <v>261</v>
      </c>
      <c r="IB10" s="390">
        <f>(IA10-JB10)/JB10</f>
        <v>0.00384615384615385</v>
      </c>
      <c r="IC10" s="464">
        <v>262</v>
      </c>
      <c r="ID10" s="390">
        <f>(IC10-JD10)/JD10</f>
        <v>0.00769230769230769</v>
      </c>
      <c r="IE10" s="464">
        <v>271.5</v>
      </c>
      <c r="IF10" s="390">
        <f>(IE10-JF10)/JF10</f>
        <v>0.00929368029739777</v>
      </c>
      <c r="IG10" s="464">
        <v>242</v>
      </c>
      <c r="IH10" s="390">
        <f>(IG10-JH10)/JH10</f>
        <v>0.0125523012552301</v>
      </c>
      <c r="II10" s="464">
        <v>296</v>
      </c>
      <c r="IJ10" s="309">
        <f>(II10-JJ10)/JJ10</f>
        <v>0.00680272108843537</v>
      </c>
      <c r="IK10" s="391">
        <f>HL10+HN10+HP10+HR10+HT10+HW10+HY10+IA10+IC10+IE10+IG10+II10</f>
        <v>3417.5</v>
      </c>
      <c r="IL10" s="104">
        <f>IK10/JL10-1</f>
        <v>0.0078148038926571</v>
      </c>
      <c r="IM10" s="392"/>
      <c r="IN10" s="467">
        <v>294</v>
      </c>
      <c r="IO10" s="413">
        <f>IN10/JP10-1</f>
        <v>0.0191686227423367</v>
      </c>
      <c r="IP10" s="414">
        <v>401.4</v>
      </c>
      <c r="IQ10" s="413">
        <f>IP10/JQ10-1</f>
        <v>0.0151220892010353</v>
      </c>
      <c r="IR10" s="414">
        <v>323.6</v>
      </c>
      <c r="IS10" s="394">
        <f>(IR10-JR10)/JR10</f>
        <v>0.0187346313643275</v>
      </c>
      <c r="IT10" s="486">
        <v>255</v>
      </c>
      <c r="IU10" s="413">
        <f>(IT10-JS10)/JS10</f>
        <v>0.0225046409795886</v>
      </c>
      <c r="IV10" s="486">
        <v>254</v>
      </c>
      <c r="IW10" s="413">
        <f>(IV10-JT10)/JT10</f>
        <v>0.0253994552104633</v>
      </c>
      <c r="IX10" s="486">
        <v>271</v>
      </c>
      <c r="IY10" s="413">
        <f>(IX10-JU10)/JU10</f>
        <v>0.0178918061501894</v>
      </c>
      <c r="IZ10" s="468">
        <v>270</v>
      </c>
      <c r="JA10" s="413">
        <f>(IZ10-JV10)/JV10</f>
        <v>0.0190779312714999</v>
      </c>
      <c r="JB10" s="414">
        <v>260</v>
      </c>
      <c r="JC10" s="413">
        <f>(JB10-JW10)/JW10</f>
        <v>0.0177867545721463</v>
      </c>
      <c r="JD10" s="414">
        <v>260</v>
      </c>
      <c r="JE10" s="469">
        <f>(JD10-JX10)/JX10</f>
        <v>0.0135520285703045</v>
      </c>
      <c r="JF10" s="414">
        <v>269</v>
      </c>
      <c r="JG10" s="471">
        <f>(JF10-JY10)/JY10</f>
        <v>0.0221405412397809</v>
      </c>
      <c r="JH10" s="487">
        <v>239</v>
      </c>
      <c r="JI10" s="380">
        <f>(JH10-JZ10)/JZ10</f>
        <v>0.00809862192039158</v>
      </c>
      <c r="JJ10" s="472">
        <v>294</v>
      </c>
      <c r="JK10" s="380">
        <f>(JJ10-KA10)/KA10</f>
        <v>0.0385693747428214</v>
      </c>
      <c r="JL10" s="399">
        <f t="shared" si="62"/>
        <v>3391</v>
      </c>
      <c r="JM10" s="398">
        <f>JL10/JO10-1</f>
        <v>0.0198090016156347</v>
      </c>
      <c r="JN10" s="400"/>
      <c r="JO10" s="383">
        <v>3325.13244600489</v>
      </c>
      <c r="JP10" s="374">
        <v>288.470419358984</v>
      </c>
      <c r="JQ10" s="374">
        <v>395.420417179501</v>
      </c>
      <c r="JR10" s="374">
        <v>317.648963760683</v>
      </c>
      <c r="JS10" s="374">
        <v>249.387621121898</v>
      </c>
      <c r="JT10" s="374">
        <v>247.708343035804</v>
      </c>
      <c r="JU10" s="374">
        <v>266.236547305514</v>
      </c>
      <c r="JV10" s="374">
        <v>264.945390057777</v>
      </c>
      <c r="JW10" s="374">
        <v>255.456262161024</v>
      </c>
      <c r="JX10" s="374">
        <v>256.523585046493</v>
      </c>
      <c r="JY10" s="374">
        <v>263.173202849114</v>
      </c>
      <c r="JZ10" s="374">
        <v>237.079978886107</v>
      </c>
      <c r="KA10" s="374">
        <v>283.081715241991</v>
      </c>
    </row>
    <row r="11" s="285" customFormat="1" ht="28.8" hidden="1" customHeight="1" spans="1:287">
      <c r="A11" s="401"/>
      <c r="B11" s="141" t="s">
        <v>209</v>
      </c>
      <c r="C11" s="163">
        <v>2072.6875</v>
      </c>
      <c r="D11" s="359">
        <f t="shared" si="0"/>
        <v>-0.190975033386582</v>
      </c>
      <c r="E11" s="109">
        <v>2381.0712</v>
      </c>
      <c r="F11" s="359">
        <f t="shared" si="1"/>
        <v>-0.0687650128307908</v>
      </c>
      <c r="G11" s="109">
        <v>2528.9262</v>
      </c>
      <c r="H11" s="359">
        <f t="shared" si="2"/>
        <v>-0.0921752267097382</v>
      </c>
      <c r="I11" s="109">
        <v>2913.672</v>
      </c>
      <c r="J11" s="359">
        <f t="shared" si="3"/>
        <v>-0.0607622124731215</v>
      </c>
      <c r="K11" s="109">
        <v>2547.6156</v>
      </c>
      <c r="L11" s="359">
        <f t="shared" si="4"/>
        <v>-0.0571552286928602</v>
      </c>
      <c r="M11" s="109">
        <v>2470.4711</v>
      </c>
      <c r="N11" s="359">
        <f t="shared" si="5"/>
        <v>-0.00676617052237261</v>
      </c>
      <c r="O11" s="109">
        <v>2320.2229</v>
      </c>
      <c r="P11" s="359">
        <f t="shared" si="6"/>
        <v>-0.046877105295502</v>
      </c>
      <c r="Q11" s="127"/>
      <c r="R11" s="127"/>
      <c r="S11" s="109">
        <f t="shared" si="7"/>
        <v>17234.6665</v>
      </c>
      <c r="T11" s="359">
        <f t="shared" si="8"/>
        <v>-0.187102642151485</v>
      </c>
      <c r="U11" s="359"/>
      <c r="V11" s="403">
        <v>2561.9574</v>
      </c>
      <c r="W11" s="404">
        <f t="shared" si="9"/>
        <v>0.0222229865303722</v>
      </c>
      <c r="X11" s="488">
        <v>2556.8962</v>
      </c>
      <c r="Y11" s="404">
        <f t="shared" si="10"/>
        <v>0.0334251638451573</v>
      </c>
      <c r="Z11" s="488">
        <v>2785.6986</v>
      </c>
      <c r="AA11" s="405">
        <f t="shared" si="11"/>
        <v>0.000791954227890912</v>
      </c>
      <c r="AB11" s="488">
        <v>3102.1665</v>
      </c>
      <c r="AC11" s="405">
        <f t="shared" si="12"/>
        <v>-0.00726405618007842</v>
      </c>
      <c r="AD11" s="488">
        <v>2702.052</v>
      </c>
      <c r="AE11" s="405">
        <f t="shared" si="13"/>
        <v>-0.0872530757999774</v>
      </c>
      <c r="AF11" s="488">
        <v>2487.3006</v>
      </c>
      <c r="AG11" s="405">
        <f t="shared" si="14"/>
        <v>-0.0323817664402862</v>
      </c>
      <c r="AH11" s="488">
        <v>2434.3376</v>
      </c>
      <c r="AI11" s="405">
        <f t="shared" si="15"/>
        <v>-0.12995961020591</v>
      </c>
      <c r="AJ11" s="488">
        <v>2571.1196</v>
      </c>
      <c r="AK11" s="405">
        <f t="shared" si="16"/>
        <v>-0.039412875811763</v>
      </c>
      <c r="AL11" s="488">
        <v>2439.2523</v>
      </c>
      <c r="AM11" s="405">
        <f t="shared" si="17"/>
        <v>-0.0614232807516671</v>
      </c>
      <c r="AN11" s="488">
        <v>2622.7803</v>
      </c>
      <c r="AO11" s="405">
        <f t="shared" si="18"/>
        <v>-0.0975133360198009</v>
      </c>
      <c r="AP11" s="488">
        <v>2698.1026</v>
      </c>
      <c r="AQ11" s="405">
        <f t="shared" si="19"/>
        <v>-0.0119243162807403</v>
      </c>
      <c r="AR11" s="488">
        <v>2490.7552</v>
      </c>
      <c r="AS11" s="405">
        <f t="shared" si="20"/>
        <v>0.0715517594449513</v>
      </c>
      <c r="AT11" s="489">
        <f t="shared" si="21"/>
        <v>31452.4189</v>
      </c>
      <c r="AU11" s="404">
        <f t="shared" si="22"/>
        <v>-0.030874577610514</v>
      </c>
      <c r="AV11" s="360"/>
      <c r="AW11" s="488">
        <v>2506.2608</v>
      </c>
      <c r="AX11" s="404">
        <v>-0.0458361038072546</v>
      </c>
      <c r="AY11" s="403">
        <v>2474.1958</v>
      </c>
      <c r="AZ11" s="405">
        <f t="shared" si="23"/>
        <v>-0.0885063931390373</v>
      </c>
      <c r="BA11" s="403">
        <v>2783.4942</v>
      </c>
      <c r="BB11" s="405">
        <f t="shared" si="24"/>
        <v>-0.153946624574347</v>
      </c>
      <c r="BC11" s="403">
        <v>3124.8657</v>
      </c>
      <c r="BD11" s="405">
        <f t="shared" si="25"/>
        <v>-0.0416569601512119</v>
      </c>
      <c r="BE11" s="406">
        <v>2960.3518</v>
      </c>
      <c r="BF11" s="405">
        <f t="shared" si="26"/>
        <v>-0.0852384455165865</v>
      </c>
      <c r="BG11" s="403">
        <v>2570.5392</v>
      </c>
      <c r="BH11" s="405">
        <f t="shared" si="27"/>
        <v>-0.16387334798384</v>
      </c>
      <c r="BI11" s="403">
        <v>2797.9593</v>
      </c>
      <c r="BJ11" s="405">
        <f t="shared" si="28"/>
        <v>-0.0928411186670238</v>
      </c>
      <c r="BK11" s="163">
        <v>2676.6126</v>
      </c>
      <c r="BL11" s="402">
        <f t="shared" si="29"/>
        <v>-0.157181454993446</v>
      </c>
      <c r="BM11" s="163">
        <v>2598.8843</v>
      </c>
      <c r="BN11" s="402">
        <f t="shared" si="30"/>
        <v>-0.146701005463425</v>
      </c>
      <c r="BO11" s="163">
        <v>2906.1707</v>
      </c>
      <c r="BP11" s="402">
        <f t="shared" si="31"/>
        <v>-0.0867813456539174</v>
      </c>
      <c r="BQ11" s="163">
        <v>2730.6639</v>
      </c>
      <c r="BR11" s="402">
        <f t="shared" si="32"/>
        <v>-0.0886325338957117</v>
      </c>
      <c r="BS11" s="163">
        <v>2324.4376</v>
      </c>
      <c r="BT11" s="402">
        <f t="shared" si="33"/>
        <v>-0.109856771362881</v>
      </c>
      <c r="BU11" s="109">
        <f t="shared" si="34"/>
        <v>32454.4359</v>
      </c>
      <c r="BV11" s="359">
        <f t="shared" si="35"/>
        <v>-0.105888445551904</v>
      </c>
      <c r="BW11" s="429"/>
      <c r="BX11" s="93">
        <v>2626.6565</v>
      </c>
      <c r="BY11" s="402">
        <f t="shared" si="36"/>
        <v>-0.166480631404789</v>
      </c>
      <c r="BZ11" s="93">
        <v>2714.4412</v>
      </c>
      <c r="CA11" s="359">
        <f t="shared" si="37"/>
        <v>-0.183282555545436</v>
      </c>
      <c r="CB11" s="109">
        <v>3289.9747</v>
      </c>
      <c r="CC11" s="359">
        <f t="shared" si="38"/>
        <v>0.116506063896267</v>
      </c>
      <c r="CD11" s="109">
        <v>3260.6964</v>
      </c>
      <c r="CE11" s="359">
        <v>0.33881687578749</v>
      </c>
      <c r="CF11" s="163">
        <v>3236.2005</v>
      </c>
      <c r="CG11" s="359">
        <f t="shared" si="39"/>
        <v>0.20474944904555</v>
      </c>
      <c r="CH11" s="163">
        <v>3074.3419</v>
      </c>
      <c r="CI11" s="359">
        <f t="shared" si="40"/>
        <v>0.0656147046516637</v>
      </c>
      <c r="CJ11" s="163">
        <v>3084.3101</v>
      </c>
      <c r="CK11" s="359">
        <f t="shared" si="41"/>
        <v>0.0395095585494436</v>
      </c>
      <c r="CL11" s="109">
        <v>3175.7875</v>
      </c>
      <c r="CM11" s="359">
        <f t="shared" si="42"/>
        <v>0.107048003293479</v>
      </c>
      <c r="CN11" s="109">
        <f>3030.8088+CN13</f>
        <v>3045.6901</v>
      </c>
      <c r="CO11" s="359">
        <f t="shared" si="43"/>
        <v>0.0656124380471026</v>
      </c>
      <c r="CP11" s="109">
        <f>3166.7203+CP13</f>
        <v>3182.3383</v>
      </c>
      <c r="CQ11" s="359">
        <f t="shared" si="44"/>
        <v>0.153567646759023</v>
      </c>
      <c r="CR11" s="109">
        <v>2996.2271</v>
      </c>
      <c r="CS11" s="359">
        <f t="shared" si="45"/>
        <v>0.356425911167537</v>
      </c>
      <c r="CT11" s="109">
        <v>2611.3074</v>
      </c>
      <c r="CU11" s="359">
        <f t="shared" si="46"/>
        <v>0.165024262086841</v>
      </c>
      <c r="CV11" s="109">
        <f t="shared" si="47"/>
        <v>36297.9717</v>
      </c>
      <c r="CW11" s="359">
        <f t="shared" si="48"/>
        <v>0.089006671591652</v>
      </c>
      <c r="CX11" s="408">
        <f t="shared" si="49"/>
        <v>-0.128468132472335</v>
      </c>
      <c r="CY11" s="408"/>
      <c r="CZ11" s="490">
        <v>3151.2843</v>
      </c>
      <c r="DA11" s="93">
        <v>3323.5989</v>
      </c>
      <c r="DB11" s="93">
        <v>2946.6698</v>
      </c>
      <c r="DC11" s="107">
        <v>2435.5059</v>
      </c>
      <c r="DD11" s="163">
        <v>2686.2021</v>
      </c>
      <c r="DE11" s="163">
        <v>2885.0408</v>
      </c>
      <c r="DF11" s="109">
        <v>2967.082</v>
      </c>
      <c r="DG11" s="109">
        <v>2868.699</v>
      </c>
      <c r="DH11" s="109">
        <v>2858.1593</v>
      </c>
      <c r="DI11" s="109">
        <v>2758.6924</v>
      </c>
      <c r="DJ11" s="109">
        <v>2208.9132</v>
      </c>
      <c r="DK11" s="109">
        <v>2241.4189</v>
      </c>
      <c r="DL11" s="109">
        <v>33331.2666</v>
      </c>
      <c r="DM11" s="410">
        <v>-0.269766497222783</v>
      </c>
      <c r="DN11" s="411"/>
      <c r="DO11" s="412">
        <v>3672.927</v>
      </c>
      <c r="DP11" s="87">
        <f>(DO11-DX11)/DX11</f>
        <v>-0.202082967641247</v>
      </c>
      <c r="DQ11" s="103">
        <v>3872.4619</v>
      </c>
      <c r="DR11" s="104"/>
      <c r="DS11" s="103">
        <v>4065.4968</v>
      </c>
      <c r="DT11" s="104" t="e">
        <f t="shared" si="50"/>
        <v>#DIV/0!</v>
      </c>
      <c r="DU11" s="103"/>
      <c r="DV11" s="103">
        <v>4491.6433</v>
      </c>
      <c r="DW11" s="104">
        <f t="shared" si="51"/>
        <v>-0.318676850920663</v>
      </c>
      <c r="DX11" s="103">
        <v>4603.144</v>
      </c>
      <c r="DY11" s="104">
        <f t="shared" si="52"/>
        <v>-0.201684336124952</v>
      </c>
      <c r="DZ11" s="103">
        <v>4315.5691</v>
      </c>
      <c r="EA11" s="104">
        <f t="shared" si="53"/>
        <v>-0.361763651502357</v>
      </c>
      <c r="EB11" s="103">
        <v>4242.8576</v>
      </c>
      <c r="EC11" s="104">
        <f t="shared" si="54"/>
        <v>-0.48203005132262</v>
      </c>
      <c r="ED11" s="103">
        <v>2625.003</v>
      </c>
      <c r="EE11" s="104">
        <f t="shared" si="55"/>
        <v>-0.754142069194177</v>
      </c>
      <c r="EF11" s="103">
        <v>3382.5641</v>
      </c>
      <c r="EG11" s="104">
        <f t="shared" si="56"/>
        <v>-0.693548366347039</v>
      </c>
      <c r="EH11" s="103">
        <v>3573.7885</v>
      </c>
      <c r="EI11" s="104">
        <f t="shared" si="57"/>
        <v>-0.689014577325437</v>
      </c>
      <c r="EJ11" s="103">
        <v>3406.4255</v>
      </c>
      <c r="EK11" s="104">
        <f t="shared" si="58"/>
        <v>-0.653749578168009</v>
      </c>
      <c r="EL11" s="103">
        <v>3392.7883</v>
      </c>
      <c r="EM11" s="104">
        <f t="shared" si="59"/>
        <v>-0.615335358249094</v>
      </c>
      <c r="EN11" s="93">
        <f t="shared" si="64"/>
        <v>45644.6691</v>
      </c>
      <c r="EO11" s="104">
        <f t="shared" si="60"/>
        <v>-0.48335695454459</v>
      </c>
      <c r="EP11" s="478">
        <v>9172.2</v>
      </c>
      <c r="EQ11" s="104">
        <f>(EP11-FP11)/FP11</f>
        <v>-0.337900268530015</v>
      </c>
      <c r="ER11" s="103">
        <v>0</v>
      </c>
      <c r="ES11" s="104">
        <f>(ER11-FQ11)/FQ11</f>
        <v>-1</v>
      </c>
      <c r="ET11" s="103">
        <v>0</v>
      </c>
      <c r="EU11" s="104">
        <f>(ET11-FR11)/FR11</f>
        <v>-1</v>
      </c>
      <c r="EV11" s="103">
        <v>6592.53</v>
      </c>
      <c r="EW11" s="104">
        <f>(EV11-FS11)/FS11</f>
        <v>-0.439105465559488</v>
      </c>
      <c r="EX11" s="103">
        <v>5766.07</v>
      </c>
      <c r="EY11" s="104">
        <f>(EX11-FT11)/FT11</f>
        <v>-0.594869106931195</v>
      </c>
      <c r="EZ11" s="103">
        <v>6761.71</v>
      </c>
      <c r="FA11" s="104">
        <f>(EZ11-FU11)/FU11</f>
        <v>-0.470104526012385</v>
      </c>
      <c r="FB11" s="103">
        <v>8191.32</v>
      </c>
      <c r="FC11" s="104">
        <f>(FB11-FV11)/FV11</f>
        <v>-0.366954801364808</v>
      </c>
      <c r="FD11" s="103">
        <v>10676.91</v>
      </c>
      <c r="FE11" s="104">
        <f>(FD11-FW11)/FW11</f>
        <v>-0.1536834145282</v>
      </c>
      <c r="FF11" s="103">
        <v>11037.84</v>
      </c>
      <c r="FG11" s="104">
        <f>(FF11-FX11)/FX11</f>
        <v>-0.217100064828856</v>
      </c>
      <c r="FH11" s="103">
        <v>11491.82</v>
      </c>
      <c r="FI11" s="104">
        <f>(FH11-FY11)/FY11</f>
        <v>-0.075090142296053</v>
      </c>
      <c r="FJ11" s="103">
        <v>9838.04</v>
      </c>
      <c r="FK11" s="104">
        <f>(FJ11-GA11)/GA11</f>
        <v>-0.0964543462408134</v>
      </c>
      <c r="FL11" s="103">
        <v>8820.12</v>
      </c>
      <c r="FM11" s="456">
        <f>(FL11-GC11)/GC11</f>
        <v>-0.233315716640126</v>
      </c>
      <c r="FN11" s="95">
        <v>88348.56</v>
      </c>
      <c r="FO11" s="96">
        <f>(FN11-(FP11+FQ11+FR11+FS11+FT11+FU11+FV11+FW11+FX11+FY11+GA11+GC11))/(FP11+FQ11+FR11+FS11+FT11+FU11+FV11+FW11+FX11+FY11+GA11+GC11)</f>
        <v>-0.458885598527606</v>
      </c>
      <c r="FP11" s="456">
        <v>13853.2</v>
      </c>
      <c r="FQ11" s="456">
        <v>20994.09</v>
      </c>
      <c r="FR11" s="456">
        <v>15206.29</v>
      </c>
      <c r="FS11" s="456">
        <v>11753.6</v>
      </c>
      <c r="FT11" s="456">
        <v>14232.61</v>
      </c>
      <c r="FU11" s="456">
        <v>12760.46</v>
      </c>
      <c r="FV11" s="480">
        <v>12939.55</v>
      </c>
      <c r="FW11" s="480">
        <v>12615.74</v>
      </c>
      <c r="FX11" s="480">
        <v>14098.66</v>
      </c>
      <c r="FY11" s="480">
        <v>12424.8</v>
      </c>
      <c r="FZ11" s="491">
        <f>(FY11-HA11)/HA11</f>
        <v>-0.1708004957258</v>
      </c>
      <c r="GA11" s="480">
        <v>10888.26</v>
      </c>
      <c r="GB11" s="491">
        <f>(GA11-HC11)/HC11</f>
        <v>-0.163900211016473</v>
      </c>
      <c r="GC11" s="480">
        <v>11504.24</v>
      </c>
      <c r="GD11" s="491">
        <f>(GC11-HE11)/HE11</f>
        <v>-0.477474269414896</v>
      </c>
      <c r="GE11" s="492">
        <f>FP11+FQ11+FR11+FS11+FT11+FU11+FV11+FW11+FX11+FY11+GA11+GC11</f>
        <v>163271.5</v>
      </c>
      <c r="GF11" s="481">
        <f>(GE11-HG11)/HG11</f>
        <v>-0.198446472259198</v>
      </c>
      <c r="GG11" s="415"/>
      <c r="GH11" s="392"/>
      <c r="GI11" s="417">
        <v>14828</v>
      </c>
      <c r="GJ11" s="104">
        <f>(GI11-HL11)/HL11</f>
        <v>-0.0619345859429367</v>
      </c>
      <c r="GK11" s="103">
        <v>23149.8</v>
      </c>
      <c r="GL11" s="104">
        <f>(GK11-HN11)/HN11</f>
        <v>0.08</v>
      </c>
      <c r="GM11" s="103">
        <v>20101.39</v>
      </c>
      <c r="GN11" s="104">
        <f>(GM11-HP11)/HP11</f>
        <v>0.0565998759500857</v>
      </c>
      <c r="GO11" s="103">
        <v>14566.05</v>
      </c>
      <c r="GP11" s="104">
        <f>(GO11-HR11)/HR11</f>
        <v>-0.0655000962340412</v>
      </c>
      <c r="GQ11" s="103">
        <v>16714.01</v>
      </c>
      <c r="GR11" s="104">
        <f>(GQ11-HT11)/HT11</f>
        <v>-0.120130027374184</v>
      </c>
      <c r="GS11" s="103">
        <v>15769.04</v>
      </c>
      <c r="GT11" s="104">
        <f>(GS11-HW11)/HW11</f>
        <v>-0.110320236510122</v>
      </c>
      <c r="GU11" s="103">
        <v>16136.31</v>
      </c>
      <c r="GV11" s="104">
        <f>(GU11-HY11)/HY11</f>
        <v>-0.0985301675977654</v>
      </c>
      <c r="GW11" s="103">
        <v>15599.72</v>
      </c>
      <c r="GX11" s="104">
        <f>(GW11-IA11)/IA11</f>
        <v>-0.118560289298226</v>
      </c>
      <c r="GY11" s="103">
        <v>16806.13</v>
      </c>
      <c r="GZ11" s="104">
        <f>(GY11-IC11)/IC11</f>
        <v>-0.105200191672878</v>
      </c>
      <c r="HA11" s="103">
        <v>14984.09</v>
      </c>
      <c r="HB11" s="104">
        <f>(HA11-IE11)/IE11</f>
        <v>-0.120600387346675</v>
      </c>
      <c r="HC11" s="103">
        <v>13022.68</v>
      </c>
      <c r="HD11" s="104">
        <f>(HC11-IG11)/IG11</f>
        <v>-0.112110179314106</v>
      </c>
      <c r="HE11" s="103">
        <v>22016.6</v>
      </c>
      <c r="HF11" s="104">
        <f>(HE11-II11)/II11</f>
        <v>-0.139001212310821</v>
      </c>
      <c r="HG11" s="414">
        <f>GI11+GK11+GM11+GO11+GQ11+GS11+GU11+GW11+GY11+HA11+HC11+HE11</f>
        <v>203693.82</v>
      </c>
      <c r="HH11" s="103">
        <f>HE11+HC11+HA11+GY11+GW11+GU11+GS11+GQ11+GO11+GM11+GK11+GI11</f>
        <v>203693.82</v>
      </c>
      <c r="HI11" s="394"/>
      <c r="HJ11" s="411"/>
      <c r="HK11" s="493"/>
      <c r="HL11" s="417">
        <v>15807</v>
      </c>
      <c r="HM11" s="418">
        <f>(HL11-IN11)/IN11</f>
        <v>0.00938697318007663</v>
      </c>
      <c r="HN11" s="421">
        <v>21435</v>
      </c>
      <c r="HO11" s="418">
        <f>(HN11-IP11)/IP11</f>
        <v>0.00233808744447042</v>
      </c>
      <c r="HP11" s="421">
        <v>19024.6</v>
      </c>
      <c r="HQ11" s="423">
        <f>(HP11-IR11)/IR11</f>
        <v>0.00621991854868559</v>
      </c>
      <c r="HR11" s="439">
        <v>15587</v>
      </c>
      <c r="HS11" s="304">
        <f>(HR11-IT11)/IT11</f>
        <v>0.00250836120401338</v>
      </c>
      <c r="HT11" s="439">
        <v>18996</v>
      </c>
      <c r="HU11" s="304">
        <f>(HT11-IV11)/IV11</f>
        <v>0.0186068958121079</v>
      </c>
      <c r="HV11" s="423"/>
      <c r="HW11" s="439">
        <v>17724.4</v>
      </c>
      <c r="HX11" s="304">
        <f>(HW11-IX11)/IX11</f>
        <v>0.00918977395661342</v>
      </c>
      <c r="HY11" s="439">
        <v>17900</v>
      </c>
      <c r="HZ11" s="304">
        <f>(HY11-IZ11)/IZ11</f>
        <v>0.00981608936026176</v>
      </c>
      <c r="IA11" s="439">
        <v>17698</v>
      </c>
      <c r="IB11" s="422">
        <f>(IA11-JB11)/JB11</f>
        <v>0.032796451914099</v>
      </c>
      <c r="IC11" s="439">
        <v>18782</v>
      </c>
      <c r="ID11" s="425">
        <f>(IC11-JD11)/JD11</f>
        <v>0.00459991442019683</v>
      </c>
      <c r="IE11" s="439">
        <v>17039</v>
      </c>
      <c r="IF11" s="425">
        <f>(IE11-JF11)/JF11</f>
        <v>0.00501356612008965</v>
      </c>
      <c r="IG11" s="439">
        <v>14667</v>
      </c>
      <c r="IH11" s="309">
        <f>(IG11-JH11)/JH11</f>
        <v>0.00458904109589041</v>
      </c>
      <c r="II11" s="439">
        <v>25571</v>
      </c>
      <c r="IJ11" s="309">
        <f>(II11-JJ11)/JJ11</f>
        <v>0.0131943894127902</v>
      </c>
      <c r="IK11" s="391">
        <f>HL11+HN11+HP11+HR11+HT11+HW11+HY11+IA11+IC11+IE11+IG11+II11</f>
        <v>220231</v>
      </c>
      <c r="IL11" s="104">
        <f>IK11/JL11-1</f>
        <v>0.00994671240289469</v>
      </c>
      <c r="IM11" s="392"/>
      <c r="IN11" s="417">
        <v>15660</v>
      </c>
      <c r="IO11" s="104">
        <f>IN11/JP11-1</f>
        <v>0.0238501700919951</v>
      </c>
      <c r="IP11" s="103">
        <v>21385</v>
      </c>
      <c r="IQ11" s="104">
        <f>IP11/JQ11-1</f>
        <v>0.0139297476787692</v>
      </c>
      <c r="IR11" s="103">
        <v>18907</v>
      </c>
      <c r="IS11" s="394">
        <f>(IR11-JR11)/JR11</f>
        <v>0.021785929069172</v>
      </c>
      <c r="IT11" s="494">
        <v>15548</v>
      </c>
      <c r="IU11" s="104">
        <f>(IT11-JS11)/JS11</f>
        <v>0.0166499080980566</v>
      </c>
      <c r="IV11" s="495">
        <v>18649</v>
      </c>
      <c r="IW11" s="104">
        <f>(IV11-JT11)/JT11</f>
        <v>0.0270760472671101</v>
      </c>
      <c r="IX11" s="495">
        <v>17563</v>
      </c>
      <c r="IY11" s="104">
        <f>(IX11-JU11)/JU11</f>
        <v>0.0663024635178369</v>
      </c>
      <c r="IZ11" s="482">
        <v>17726</v>
      </c>
      <c r="JA11" s="104">
        <f>(IZ11-JV11)/JV11</f>
        <v>0.0164026614561444</v>
      </c>
      <c r="JB11" s="103">
        <v>17136</v>
      </c>
      <c r="JC11" s="104">
        <f>(JB11-JW11)/JW11</f>
        <v>0.00892102005150318</v>
      </c>
      <c r="JD11" s="103">
        <v>18696</v>
      </c>
      <c r="JE11" s="394">
        <f>(JD11-JX11)/JX11</f>
        <v>0.00113168072108111</v>
      </c>
      <c r="JF11" s="103">
        <v>16954</v>
      </c>
      <c r="JG11" s="418">
        <f>(JF11-JY11)/JY11</f>
        <v>0.0282024186197061</v>
      </c>
      <c r="JH11" s="496">
        <v>14600</v>
      </c>
      <c r="JI11" s="418">
        <f>(JH11-JZ11)/JZ11</f>
        <v>0.0089518199821723</v>
      </c>
      <c r="JJ11" s="103">
        <v>25238</v>
      </c>
      <c r="JK11" s="418">
        <f>(JJ11-KA11)/KA11</f>
        <v>0.0178903992261927</v>
      </c>
      <c r="JL11" s="399">
        <f t="shared" si="62"/>
        <v>218062</v>
      </c>
      <c r="JM11" s="398">
        <f>JL11/JO11-1</f>
        <v>0.0205784725449847</v>
      </c>
      <c r="JN11" s="400"/>
      <c r="JO11" s="417">
        <v>213665.09863394</v>
      </c>
      <c r="JP11" s="103">
        <v>15295.2067181792</v>
      </c>
      <c r="JQ11" s="103">
        <v>21091.2048383604</v>
      </c>
      <c r="JR11" s="103">
        <v>18503.8758727319</v>
      </c>
      <c r="JS11" s="103">
        <v>15293.3668474796</v>
      </c>
      <c r="JT11" s="103">
        <v>18157.3701865817</v>
      </c>
      <c r="JU11" s="103">
        <v>16470.9363439506</v>
      </c>
      <c r="JV11" s="103">
        <v>17439.9385914682</v>
      </c>
      <c r="JW11" s="103">
        <v>16984.4811035112</v>
      </c>
      <c r="JX11" s="103">
        <v>18674.866014163</v>
      </c>
      <c r="JY11" s="103">
        <v>16488.9711334852</v>
      </c>
      <c r="JZ11" s="103">
        <v>14470.4630199864</v>
      </c>
      <c r="KA11" s="103">
        <v>24794.4179640422</v>
      </c>
    </row>
    <row r="12" s="285" customFormat="1" ht="28.8" customHeight="1" spans="1:287">
      <c r="A12" s="401"/>
      <c r="B12" s="141" t="s">
        <v>211</v>
      </c>
      <c r="C12" s="163">
        <v>0.4467</v>
      </c>
      <c r="D12" s="402">
        <f t="shared" si="0"/>
        <v>-0.459397313324458</v>
      </c>
      <c r="E12" s="163">
        <v>0.4823</v>
      </c>
      <c r="F12" s="359">
        <f t="shared" si="1"/>
        <v>-0.478819969742814</v>
      </c>
      <c r="G12" s="163">
        <v>0.4978</v>
      </c>
      <c r="H12" s="359">
        <f t="shared" si="2"/>
        <v>-0.527659170699307</v>
      </c>
      <c r="I12" s="163">
        <v>0.4917</v>
      </c>
      <c r="J12" s="359">
        <f t="shared" si="3"/>
        <v>-0.51808291678918</v>
      </c>
      <c r="K12" s="163">
        <v>0.4937</v>
      </c>
      <c r="L12" s="359">
        <f t="shared" si="4"/>
        <v>-0.529854299590515</v>
      </c>
      <c r="M12" s="163">
        <v>0.4869</v>
      </c>
      <c r="N12" s="402">
        <f t="shared" si="5"/>
        <v>-0.407880335643926</v>
      </c>
      <c r="O12" s="163">
        <v>0.4988</v>
      </c>
      <c r="P12" s="402">
        <f t="shared" si="6"/>
        <v>-0.322098396303343</v>
      </c>
      <c r="Q12" s="127"/>
      <c r="R12" s="127"/>
      <c r="S12" s="109">
        <f t="shared" si="7"/>
        <v>3.3979</v>
      </c>
      <c r="T12" s="359">
        <f t="shared" si="8"/>
        <v>-0.52480910692809</v>
      </c>
      <c r="U12" s="359"/>
      <c r="V12" s="163">
        <v>0.8263</v>
      </c>
      <c r="W12" s="402">
        <f t="shared" si="9"/>
        <v>0.088525885917534</v>
      </c>
      <c r="X12" s="163">
        <v>0.9254</v>
      </c>
      <c r="Y12" s="402">
        <f t="shared" si="10"/>
        <v>0.138533464566929</v>
      </c>
      <c r="Z12" s="163">
        <v>1.0539</v>
      </c>
      <c r="AA12" s="402">
        <f t="shared" si="11"/>
        <v>0.321339017051154</v>
      </c>
      <c r="AB12" s="163">
        <v>1.0203</v>
      </c>
      <c r="AC12" s="402">
        <f t="shared" si="12"/>
        <v>0.255290354330709</v>
      </c>
      <c r="AD12" s="163">
        <v>1.0501</v>
      </c>
      <c r="AE12" s="402">
        <f t="shared" si="13"/>
        <v>0.345419602818706</v>
      </c>
      <c r="AF12" s="163">
        <v>0.8223</v>
      </c>
      <c r="AG12" s="402">
        <f t="shared" si="14"/>
        <v>0.0968387354941977</v>
      </c>
      <c r="AH12" s="163">
        <v>0.7358</v>
      </c>
      <c r="AI12" s="402">
        <f t="shared" si="15"/>
        <v>-0.0492311668174183</v>
      </c>
      <c r="AJ12" s="163">
        <v>0.7165</v>
      </c>
      <c r="AK12" s="402">
        <f t="shared" si="16"/>
        <v>-0.117719492673316</v>
      </c>
      <c r="AL12" s="163">
        <v>0.7582</v>
      </c>
      <c r="AM12" s="402">
        <f t="shared" si="17"/>
        <v>-0.147131608548931</v>
      </c>
      <c r="AN12" s="163">
        <v>0.7732</v>
      </c>
      <c r="AO12" s="402">
        <f t="shared" si="18"/>
        <v>-0.0729016786570743</v>
      </c>
      <c r="AP12" s="163">
        <v>0.4269</v>
      </c>
      <c r="AQ12" s="402">
        <f t="shared" si="19"/>
        <v>-0.477734279422559</v>
      </c>
      <c r="AR12" s="163">
        <v>0.4303</v>
      </c>
      <c r="AS12" s="402">
        <f t="shared" si="20"/>
        <v>-0.413919912830291</v>
      </c>
      <c r="AT12" s="93">
        <f t="shared" si="21"/>
        <v>9.5392</v>
      </c>
      <c r="AU12" s="402">
        <f t="shared" si="22"/>
        <v>-0.00354117266089349</v>
      </c>
      <c r="AV12" s="360"/>
      <c r="AW12" s="93">
        <v>0.7591</v>
      </c>
      <c r="AX12" s="402">
        <v>1.37887809464118</v>
      </c>
      <c r="AY12" s="163">
        <v>0.8128</v>
      </c>
      <c r="AZ12" s="402">
        <f t="shared" si="23"/>
        <v>1.48714810281518</v>
      </c>
      <c r="BA12" s="93">
        <v>0.7976</v>
      </c>
      <c r="BB12" s="402">
        <f t="shared" si="24"/>
        <v>1.4074856625415</v>
      </c>
      <c r="BC12" s="93">
        <v>0.8128</v>
      </c>
      <c r="BD12" s="402">
        <f t="shared" si="25"/>
        <v>1.44671884406984</v>
      </c>
      <c r="BE12" s="93">
        <v>0.7805</v>
      </c>
      <c r="BF12" s="402">
        <f t="shared" si="26"/>
        <v>1.15726920950802</v>
      </c>
      <c r="BG12" s="93">
        <v>0.7497</v>
      </c>
      <c r="BH12" s="402">
        <f t="shared" si="27"/>
        <v>0.91543178334185</v>
      </c>
      <c r="BI12" s="93">
        <v>0.7739</v>
      </c>
      <c r="BJ12" s="402">
        <f t="shared" si="28"/>
        <v>0.0631954938865229</v>
      </c>
      <c r="BK12" s="93">
        <v>0.8121</v>
      </c>
      <c r="BL12" s="402">
        <f t="shared" si="29"/>
        <v>-0.0215662650602408</v>
      </c>
      <c r="BM12" s="93">
        <v>0.889</v>
      </c>
      <c r="BN12" s="402">
        <f t="shared" si="30"/>
        <v>0.040618049865387</v>
      </c>
      <c r="BO12" s="93">
        <v>0.834</v>
      </c>
      <c r="BP12" s="402">
        <f t="shared" si="31"/>
        <v>-0.172044078228929</v>
      </c>
      <c r="BQ12" s="93">
        <v>0.8174</v>
      </c>
      <c r="BR12" s="402">
        <f t="shared" si="32"/>
        <v>-0.243708364174685</v>
      </c>
      <c r="BS12" s="93">
        <v>0.7342</v>
      </c>
      <c r="BT12" s="402">
        <f t="shared" si="33"/>
        <v>-0.282937786893251</v>
      </c>
      <c r="BU12" s="163">
        <f t="shared" si="34"/>
        <v>9.5731</v>
      </c>
      <c r="BV12" s="402">
        <f t="shared" si="35"/>
        <v>0.261809985764749</v>
      </c>
      <c r="BW12" s="429"/>
      <c r="BX12" s="93">
        <v>0.3191</v>
      </c>
      <c r="BY12" s="402">
        <f t="shared" si="36"/>
        <v>-0.14012395580706</v>
      </c>
      <c r="BZ12" s="93">
        <v>0.3268</v>
      </c>
      <c r="CA12" s="402">
        <f t="shared" si="37"/>
        <v>-0.107347719202404</v>
      </c>
      <c r="CB12" s="163">
        <v>0.3313</v>
      </c>
      <c r="CC12" s="402">
        <f t="shared" si="38"/>
        <v>0.0923178371249587</v>
      </c>
      <c r="CD12" s="163">
        <v>0.3322</v>
      </c>
      <c r="CE12" s="402">
        <v>0.208439432520917</v>
      </c>
      <c r="CF12" s="163">
        <v>0.3618</v>
      </c>
      <c r="CG12" s="402">
        <f t="shared" si="39"/>
        <v>0.308972503617945</v>
      </c>
      <c r="CH12" s="163">
        <v>0.3914</v>
      </c>
      <c r="CI12" s="402">
        <f t="shared" si="40"/>
        <v>0.548259493670886</v>
      </c>
      <c r="CJ12" s="163">
        <v>0.7279</v>
      </c>
      <c r="CK12" s="402">
        <f t="shared" si="41"/>
        <v>1.83892355694228</v>
      </c>
      <c r="CL12" s="163">
        <v>0.83</v>
      </c>
      <c r="CM12" s="402">
        <f t="shared" si="42"/>
        <v>2.16793893129771</v>
      </c>
      <c r="CN12" s="163">
        <v>0.8543</v>
      </c>
      <c r="CO12" s="402">
        <f t="shared" si="43"/>
        <v>2.20924117205109</v>
      </c>
      <c r="CP12" s="163">
        <v>1.0073</v>
      </c>
      <c r="CQ12" s="402">
        <f t="shared" si="44"/>
        <v>2.63514976542764</v>
      </c>
      <c r="CR12" s="163">
        <v>1.0808</v>
      </c>
      <c r="CS12" s="402">
        <f t="shared" si="45"/>
        <v>4.82641509433962</v>
      </c>
      <c r="CT12" s="163">
        <v>1.0239</v>
      </c>
      <c r="CU12" s="402">
        <f t="shared" si="46"/>
        <v>2.70039754246476</v>
      </c>
      <c r="CV12" s="163">
        <f t="shared" si="47"/>
        <v>7.5868</v>
      </c>
      <c r="CW12" s="402">
        <f t="shared" si="48"/>
        <v>1.25227846222354</v>
      </c>
      <c r="CX12" s="408">
        <f t="shared" si="49"/>
        <v>-0.0526461880088822</v>
      </c>
      <c r="CY12" s="408"/>
      <c r="CZ12" s="490">
        <v>0.3711</v>
      </c>
      <c r="DA12" s="93">
        <v>0.3661</v>
      </c>
      <c r="DB12" s="93">
        <v>0.3033</v>
      </c>
      <c r="DC12" s="107">
        <v>0.2749</v>
      </c>
      <c r="DD12" s="163">
        <v>0.2764</v>
      </c>
      <c r="DE12" s="163">
        <v>0.2528</v>
      </c>
      <c r="DF12" s="109">
        <v>0.2564</v>
      </c>
      <c r="DG12" s="109">
        <v>0.262</v>
      </c>
      <c r="DH12" s="109">
        <v>0.2662</v>
      </c>
      <c r="DI12" s="109">
        <v>0.2771</v>
      </c>
      <c r="DJ12" s="109">
        <v>0.1855</v>
      </c>
      <c r="DK12" s="109">
        <v>0.2767</v>
      </c>
      <c r="DL12" s="109">
        <v>3.3685</v>
      </c>
      <c r="DM12" s="410">
        <v>-0.3531693453924</v>
      </c>
      <c r="DN12" s="411"/>
      <c r="DO12" s="412">
        <v>0.4461</v>
      </c>
      <c r="DP12" s="87"/>
      <c r="DQ12" s="103">
        <v>0.4663</v>
      </c>
      <c r="DR12" s="104"/>
      <c r="DS12" s="103">
        <v>0.4701</v>
      </c>
      <c r="DT12" s="104" t="e">
        <f t="shared" si="50"/>
        <v>#DIV/0!</v>
      </c>
      <c r="DU12" s="103"/>
      <c r="DV12" s="103">
        <v>0.4662</v>
      </c>
      <c r="DW12" s="104" t="e">
        <f t="shared" si="51"/>
        <v>#DIV/0!</v>
      </c>
      <c r="DX12" s="103">
        <v>0.4568</v>
      </c>
      <c r="DY12" s="104" t="e">
        <f t="shared" si="52"/>
        <v>#DIV/0!</v>
      </c>
      <c r="DZ12" s="103">
        <v>0.4097</v>
      </c>
      <c r="EA12" s="104" t="e">
        <f t="shared" si="53"/>
        <v>#DIV/0!</v>
      </c>
      <c r="EB12" s="103">
        <v>0.4089</v>
      </c>
      <c r="EC12" s="104" t="e">
        <f t="shared" si="54"/>
        <v>#DIV/0!</v>
      </c>
      <c r="ED12" s="103">
        <v>0.4246</v>
      </c>
      <c r="EE12" s="104" t="e">
        <f t="shared" si="55"/>
        <v>#DIV/0!</v>
      </c>
      <c r="EF12" s="103">
        <v>0.4596</v>
      </c>
      <c r="EG12" s="104" t="e">
        <f t="shared" si="56"/>
        <v>#DIV/0!</v>
      </c>
      <c r="EH12" s="103">
        <v>0.4038</v>
      </c>
      <c r="EI12" s="104" t="e">
        <f t="shared" si="57"/>
        <v>#DIV/0!</v>
      </c>
      <c r="EJ12" s="103">
        <v>0.4041</v>
      </c>
      <c r="EK12" s="104" t="e">
        <f t="shared" si="58"/>
        <v>#DIV/0!</v>
      </c>
      <c r="EL12" s="103">
        <v>0.3915</v>
      </c>
      <c r="EM12" s="104" t="e">
        <f t="shared" si="59"/>
        <v>#DIV/0!</v>
      </c>
      <c r="EN12" s="93">
        <f t="shared" si="64"/>
        <v>5.2077</v>
      </c>
      <c r="EO12" s="104" t="e">
        <f t="shared" si="60"/>
        <v>#DIV/0!</v>
      </c>
      <c r="EP12" s="104"/>
      <c r="FN12" s="95">
        <v>0</v>
      </c>
      <c r="FO12" s="96"/>
      <c r="FP12" s="431"/>
      <c r="JL12" s="399">
        <v>0</v>
      </c>
      <c r="JM12" s="398"/>
      <c r="JN12" s="400"/>
      <c r="JO12" s="346"/>
      <c r="JP12" s="435"/>
      <c r="JQ12" s="435"/>
      <c r="JR12" s="435"/>
      <c r="JS12" s="435"/>
      <c r="JT12" s="435"/>
      <c r="JU12" s="435"/>
      <c r="JV12" s="435"/>
      <c r="JW12" s="435"/>
      <c r="JX12" s="435"/>
      <c r="JY12" s="435"/>
      <c r="JZ12" s="435"/>
      <c r="KA12" s="435"/>
    </row>
    <row r="13" s="285" customFormat="1" ht="28.8" customHeight="1" spans="1:287">
      <c r="A13" s="28"/>
      <c r="B13" s="446" t="s">
        <v>212</v>
      </c>
      <c r="C13" s="163">
        <v>4.9843</v>
      </c>
      <c r="D13" s="402">
        <f t="shared" si="0"/>
        <v>-0.609141951976914</v>
      </c>
      <c r="E13" s="163">
        <v>5.2579</v>
      </c>
      <c r="F13" s="359">
        <f t="shared" si="1"/>
        <v>-0.62002254758842</v>
      </c>
      <c r="G13" s="163">
        <v>5.3201</v>
      </c>
      <c r="H13" s="359">
        <f t="shared" si="2"/>
        <v>-0.631819345730361</v>
      </c>
      <c r="I13" s="163">
        <v>5.2381</v>
      </c>
      <c r="J13" s="359">
        <f t="shared" si="3"/>
        <v>-0.629140057489982</v>
      </c>
      <c r="K13" s="163">
        <v>5.2894</v>
      </c>
      <c r="L13" s="359">
        <f t="shared" si="4"/>
        <v>-0.631161658775374</v>
      </c>
      <c r="M13" s="163">
        <v>5.1518</v>
      </c>
      <c r="N13" s="402">
        <f t="shared" si="5"/>
        <v>-0.597889462140666</v>
      </c>
      <c r="O13" s="163">
        <v>5.2451</v>
      </c>
      <c r="P13" s="402">
        <f t="shared" si="6"/>
        <v>-0.493256429578962</v>
      </c>
      <c r="Q13" s="127"/>
      <c r="R13" s="127"/>
      <c r="S13" s="109">
        <f t="shared" si="7"/>
        <v>36.4867</v>
      </c>
      <c r="T13" s="359">
        <f t="shared" si="8"/>
        <v>-0.645085166836731</v>
      </c>
      <c r="U13" s="359"/>
      <c r="V13" s="163">
        <v>12.7522</v>
      </c>
      <c r="W13" s="402">
        <f t="shared" si="9"/>
        <v>-0.0570410245792541</v>
      </c>
      <c r="X13" s="163">
        <v>13.8374</v>
      </c>
      <c r="Y13" s="402">
        <f t="shared" si="10"/>
        <v>-0.0487863560434726</v>
      </c>
      <c r="Z13" s="163">
        <v>14.4497</v>
      </c>
      <c r="AA13" s="402">
        <f t="shared" si="11"/>
        <v>0.0274830763979748</v>
      </c>
      <c r="AB13" s="163">
        <v>14.1242</v>
      </c>
      <c r="AC13" s="402">
        <f t="shared" si="12"/>
        <v>-0.0290710863333585</v>
      </c>
      <c r="AD13" s="163">
        <v>14.3407</v>
      </c>
      <c r="AE13" s="402">
        <f t="shared" si="13"/>
        <v>0.0218686314469354</v>
      </c>
      <c r="AF13" s="163">
        <v>12.8119</v>
      </c>
      <c r="AG13" s="402">
        <f t="shared" si="14"/>
        <v>-0.0610415689493433</v>
      </c>
      <c r="AH13" s="163">
        <v>10.3506</v>
      </c>
      <c r="AI13" s="402">
        <f t="shared" si="15"/>
        <v>-0.229401648314833</v>
      </c>
      <c r="AJ13" s="163">
        <v>10.1374</v>
      </c>
      <c r="AK13" s="402">
        <f t="shared" si="16"/>
        <v>-0.264793124705371</v>
      </c>
      <c r="AL13" s="163">
        <v>10.2922</v>
      </c>
      <c r="AM13" s="402">
        <f t="shared" si="17"/>
        <v>-0.290975475337559</v>
      </c>
      <c r="AN13" s="163">
        <v>10.3424</v>
      </c>
      <c r="AO13" s="402">
        <f t="shared" si="18"/>
        <v>-0.255127909656603</v>
      </c>
      <c r="AP13" s="163">
        <v>10.3424</v>
      </c>
      <c r="AQ13" s="402">
        <f t="shared" si="19"/>
        <v>-0.250702755962558</v>
      </c>
      <c r="AR13" s="163">
        <v>4.9604</v>
      </c>
      <c r="AS13" s="402">
        <f t="shared" si="20"/>
        <v>-0.573563040525438</v>
      </c>
      <c r="AT13" s="93">
        <f t="shared" si="21"/>
        <v>138.7415</v>
      </c>
      <c r="AU13" s="402">
        <f t="shared" si="22"/>
        <v>-0.16125605897381</v>
      </c>
      <c r="AV13" s="360"/>
      <c r="AW13" s="93">
        <v>13.5236</v>
      </c>
      <c r="AX13" s="402">
        <v>0.350563750212218</v>
      </c>
      <c r="AY13" s="163">
        <v>14.5471</v>
      </c>
      <c r="AZ13" s="402">
        <f t="shared" si="23"/>
        <v>0.485125367526952</v>
      </c>
      <c r="BA13" s="93">
        <v>14.0632</v>
      </c>
      <c r="BB13" s="402">
        <f t="shared" si="24"/>
        <v>0.415492390691682</v>
      </c>
      <c r="BC13" s="93">
        <v>14.5471</v>
      </c>
      <c r="BD13" s="402">
        <f t="shared" si="25"/>
        <v>0.482355938248332</v>
      </c>
      <c r="BE13" s="93">
        <v>14.0338</v>
      </c>
      <c r="BF13" s="402">
        <f t="shared" si="26"/>
        <v>0.262770504341566</v>
      </c>
      <c r="BG13" s="93">
        <v>13.6448</v>
      </c>
      <c r="BH13" s="402">
        <f t="shared" si="27"/>
        <v>0.182904204594712</v>
      </c>
      <c r="BI13" s="93">
        <v>13.4319</v>
      </c>
      <c r="BJ13" s="402">
        <f t="shared" si="28"/>
        <v>-0.0343501297655593</v>
      </c>
      <c r="BK13" s="93">
        <v>13.7885</v>
      </c>
      <c r="BL13" s="402">
        <f t="shared" si="29"/>
        <v>-0.123911123536251</v>
      </c>
      <c r="BM13" s="93">
        <v>14.516</v>
      </c>
      <c r="BN13" s="402">
        <f t="shared" si="30"/>
        <v>-0.0245475865683777</v>
      </c>
      <c r="BO13" s="93">
        <v>13.8848</v>
      </c>
      <c r="BP13" s="402">
        <f t="shared" si="31"/>
        <v>-0.110974516583429</v>
      </c>
      <c r="BQ13" s="93">
        <v>13.8028</v>
      </c>
      <c r="BR13" s="402">
        <f t="shared" si="32"/>
        <v>-0.126963143813132</v>
      </c>
      <c r="BS13" s="93">
        <v>11.6322</v>
      </c>
      <c r="BT13" s="402">
        <f t="shared" si="33"/>
        <v>-0.316231579071121</v>
      </c>
      <c r="BU13" s="163">
        <f t="shared" si="34"/>
        <v>165.4158</v>
      </c>
      <c r="BV13" s="402">
        <f t="shared" si="35"/>
        <v>0.06599241890145</v>
      </c>
      <c r="BW13" s="429"/>
      <c r="BX13" s="93">
        <v>10.0133</v>
      </c>
      <c r="BY13" s="402">
        <f t="shared" si="36"/>
        <v>-0.181839722848645</v>
      </c>
      <c r="BZ13" s="93">
        <v>9.7952</v>
      </c>
      <c r="CA13" s="402">
        <f t="shared" si="37"/>
        <v>-0.18247297917623</v>
      </c>
      <c r="CB13" s="163">
        <v>9.9352</v>
      </c>
      <c r="CC13" s="402">
        <f t="shared" si="38"/>
        <v>0.0641246719862905</v>
      </c>
      <c r="CD13" s="163">
        <v>9.8135</v>
      </c>
      <c r="CE13" s="402">
        <v>0.236393186514136</v>
      </c>
      <c r="CF13" s="163">
        <v>11.1135</v>
      </c>
      <c r="CG13" s="402">
        <f t="shared" si="39"/>
        <v>0.367243245903253</v>
      </c>
      <c r="CH13" s="163">
        <v>11.535</v>
      </c>
      <c r="CI13" s="402">
        <f t="shared" si="40"/>
        <v>0.50502981355114</v>
      </c>
      <c r="CJ13" s="163">
        <v>13.9097</v>
      </c>
      <c r="CK13" s="402">
        <f t="shared" si="41"/>
        <v>0.778506584835699</v>
      </c>
      <c r="CL13" s="163">
        <v>15.7387</v>
      </c>
      <c r="CM13" s="402">
        <f t="shared" si="42"/>
        <v>0.924258170214327</v>
      </c>
      <c r="CN13" s="163">
        <v>14.8813</v>
      </c>
      <c r="CO13" s="402">
        <f t="shared" si="43"/>
        <v>0.784221569450273</v>
      </c>
      <c r="CP13" s="163">
        <v>15.618</v>
      </c>
      <c r="CQ13" s="402">
        <f t="shared" si="44"/>
        <v>0.725154919309408</v>
      </c>
      <c r="CR13" s="163">
        <v>15.8101</v>
      </c>
      <c r="CS13" s="402">
        <f t="shared" si="45"/>
        <v>1.61856336021995</v>
      </c>
      <c r="CT13" s="163">
        <v>17.0119</v>
      </c>
      <c r="CU13" s="402">
        <f t="shared" si="46"/>
        <v>0.880495219145526</v>
      </c>
      <c r="CV13" s="163">
        <f t="shared" si="47"/>
        <v>155.1754</v>
      </c>
      <c r="CW13" s="402">
        <f t="shared" si="48"/>
        <v>0.467177108408673</v>
      </c>
      <c r="CX13" s="408">
        <f t="shared" si="49"/>
        <v>0.0760146994642665</v>
      </c>
      <c r="CY13" s="408"/>
      <c r="CZ13" s="477">
        <v>12.2388</v>
      </c>
      <c r="DA13" s="473">
        <v>11.9815</v>
      </c>
      <c r="DB13" s="473">
        <v>9.3365</v>
      </c>
      <c r="DC13" s="473">
        <v>7.9372</v>
      </c>
      <c r="DD13" s="448">
        <v>8.1284</v>
      </c>
      <c r="DE13" s="448">
        <v>7.6643</v>
      </c>
      <c r="DF13" s="448">
        <v>7.821</v>
      </c>
      <c r="DG13" s="448">
        <v>8.1791</v>
      </c>
      <c r="DH13" s="448">
        <v>8.3405</v>
      </c>
      <c r="DI13" s="448">
        <v>9.0531</v>
      </c>
      <c r="DJ13" s="448">
        <v>6.0377</v>
      </c>
      <c r="DK13" s="448">
        <v>9.0465</v>
      </c>
      <c r="DL13" s="448">
        <v>105.7646</v>
      </c>
      <c r="DM13" s="449">
        <v>-0.310017875083178</v>
      </c>
      <c r="DN13" s="411"/>
      <c r="DO13" s="412">
        <v>15.8825</v>
      </c>
      <c r="DP13" s="87"/>
      <c r="DQ13" s="103">
        <v>16.4391</v>
      </c>
      <c r="DR13" s="104"/>
      <c r="DS13" s="103">
        <v>16.7722</v>
      </c>
      <c r="DT13" s="104" t="e">
        <f t="shared" si="50"/>
        <v>#DIV/0!</v>
      </c>
      <c r="DU13" s="103"/>
      <c r="DV13" s="103">
        <v>12.5393</v>
      </c>
      <c r="DW13" s="104" t="e">
        <f t="shared" si="51"/>
        <v>#DIV/0!</v>
      </c>
      <c r="DX13" s="103">
        <v>9.8554</v>
      </c>
      <c r="DY13" s="104" t="e">
        <f t="shared" si="52"/>
        <v>#DIV/0!</v>
      </c>
      <c r="DZ13" s="103">
        <v>10.2418</v>
      </c>
      <c r="EA13" s="104" t="e">
        <f t="shared" si="53"/>
        <v>#DIV/0!</v>
      </c>
      <c r="EB13" s="103">
        <v>10.2487</v>
      </c>
      <c r="EC13" s="104" t="e">
        <f t="shared" si="54"/>
        <v>#DIV/0!</v>
      </c>
      <c r="ED13" s="103">
        <v>10.3983</v>
      </c>
      <c r="EE13" s="104" t="e">
        <f t="shared" si="55"/>
        <v>#DIV/0!</v>
      </c>
      <c r="EF13" s="103">
        <v>10.5409</v>
      </c>
      <c r="EG13" s="104" t="e">
        <f t="shared" si="56"/>
        <v>#DIV/0!</v>
      </c>
      <c r="EH13" s="103">
        <v>13.8743</v>
      </c>
      <c r="EI13" s="104" t="e">
        <f t="shared" si="57"/>
        <v>#DIV/0!</v>
      </c>
      <c r="EJ13" s="103">
        <v>13.4026</v>
      </c>
      <c r="EK13" s="104" t="e">
        <f t="shared" si="58"/>
        <v>#DIV/0!</v>
      </c>
      <c r="EL13" s="103">
        <v>13.0909</v>
      </c>
      <c r="EM13" s="104" t="e">
        <f t="shared" si="59"/>
        <v>#DIV/0!</v>
      </c>
      <c r="EN13" s="93">
        <f t="shared" si="64"/>
        <v>153.286</v>
      </c>
      <c r="EO13" s="104" t="e">
        <f t="shared" si="60"/>
        <v>#DIV/0!</v>
      </c>
      <c r="EP13" s="104"/>
      <c r="FN13" s="95">
        <v>0</v>
      </c>
      <c r="FO13" s="96"/>
      <c r="FP13" s="431"/>
      <c r="JL13" s="399">
        <v>0</v>
      </c>
      <c r="JM13" s="398"/>
      <c r="JN13" s="400"/>
      <c r="JO13" s="346"/>
      <c r="JP13" s="435"/>
      <c r="JQ13" s="435"/>
      <c r="JR13" s="435"/>
      <c r="JS13" s="435"/>
      <c r="JT13" s="435"/>
      <c r="JU13" s="435"/>
      <c r="JV13" s="435"/>
      <c r="JW13" s="435"/>
      <c r="JX13" s="435"/>
      <c r="JY13" s="435"/>
      <c r="JZ13" s="435"/>
      <c r="KA13" s="435"/>
    </row>
    <row r="14" s="284" customFormat="1" ht="28.8" hidden="1" customHeight="1" spans="1:287">
      <c r="A14" s="298" t="s">
        <v>95</v>
      </c>
      <c r="B14" s="164" t="s">
        <v>206</v>
      </c>
      <c r="C14" s="109">
        <v>44.2561</v>
      </c>
      <c r="D14" s="359">
        <f t="shared" si="0"/>
        <v>-0.13555044661954</v>
      </c>
      <c r="E14" s="109">
        <v>64.7578</v>
      </c>
      <c r="F14" s="359">
        <f t="shared" si="1"/>
        <v>-0.0777239116316694</v>
      </c>
      <c r="G14" s="109">
        <v>60.4028</v>
      </c>
      <c r="H14" s="359">
        <f t="shared" si="2"/>
        <v>0.0425582226241907</v>
      </c>
      <c r="I14" s="109">
        <v>68.256</v>
      </c>
      <c r="J14" s="359">
        <f t="shared" si="3"/>
        <v>0.0571066166734036</v>
      </c>
      <c r="K14" s="109">
        <v>66.0753</v>
      </c>
      <c r="L14" s="359">
        <f t="shared" si="4"/>
        <v>0.0327799668949218</v>
      </c>
      <c r="M14" s="109">
        <v>57.5147</v>
      </c>
      <c r="N14" s="359">
        <f t="shared" si="5"/>
        <v>-0.063067920803047</v>
      </c>
      <c r="O14" s="109">
        <v>58.7619</v>
      </c>
      <c r="P14" s="359">
        <f t="shared" si="6"/>
        <v>0.12407892018456</v>
      </c>
      <c r="Q14" s="127"/>
      <c r="R14" s="127"/>
      <c r="S14" s="109">
        <f t="shared" si="7"/>
        <v>420.0246</v>
      </c>
      <c r="T14" s="359">
        <f t="shared" si="8"/>
        <v>-0.128522714658738</v>
      </c>
      <c r="U14" s="359"/>
      <c r="V14" s="109">
        <v>51.1957</v>
      </c>
      <c r="W14" s="359">
        <f t="shared" si="9"/>
        <v>0.0203407666352433</v>
      </c>
      <c r="X14" s="109">
        <v>70.2152</v>
      </c>
      <c r="Y14" s="359">
        <f t="shared" si="10"/>
        <v>0.0474487017878853</v>
      </c>
      <c r="Z14" s="109">
        <v>57.9371</v>
      </c>
      <c r="AA14" s="359">
        <f t="shared" si="11"/>
        <v>0.0215336819722194</v>
      </c>
      <c r="AB14" s="109">
        <v>64.5687</v>
      </c>
      <c r="AC14" s="359">
        <f t="shared" si="12"/>
        <v>0.00209828738156403</v>
      </c>
      <c r="AD14" s="109">
        <v>63.9781</v>
      </c>
      <c r="AE14" s="359">
        <f t="shared" si="13"/>
        <v>0.031450667689872</v>
      </c>
      <c r="AF14" s="109">
        <v>61.3862</v>
      </c>
      <c r="AG14" s="359">
        <f t="shared" si="14"/>
        <v>0.0449568645608494</v>
      </c>
      <c r="AH14" s="109">
        <v>52.2756</v>
      </c>
      <c r="AI14" s="359">
        <f t="shared" si="15"/>
        <v>-0.0667954364098234</v>
      </c>
      <c r="AJ14" s="109">
        <v>60.4119</v>
      </c>
      <c r="AK14" s="359">
        <f t="shared" si="16"/>
        <v>-0.0114851310178715</v>
      </c>
      <c r="AL14" s="109">
        <v>52.0508</v>
      </c>
      <c r="AM14" s="359">
        <f t="shared" si="17"/>
        <v>-0.0505542452615084</v>
      </c>
      <c r="AN14" s="109">
        <v>57.7711</v>
      </c>
      <c r="AO14" s="359">
        <f t="shared" si="18"/>
        <v>-0.163188831528509</v>
      </c>
      <c r="AP14" s="109">
        <v>49.1361</v>
      </c>
      <c r="AQ14" s="359">
        <f t="shared" si="19"/>
        <v>-0.0503615058588881</v>
      </c>
      <c r="AR14" s="109">
        <v>41.2319</v>
      </c>
      <c r="AS14" s="359">
        <f t="shared" si="20"/>
        <v>-0.125920571188719</v>
      </c>
      <c r="AT14" s="107">
        <f t="shared" si="21"/>
        <v>682.1584</v>
      </c>
      <c r="AU14" s="359">
        <f t="shared" si="22"/>
        <v>-0.0241436882265097</v>
      </c>
      <c r="AV14" s="360"/>
      <c r="AW14" s="450">
        <v>50.1751</v>
      </c>
      <c r="AX14" s="361">
        <v>-0.0499911010803666</v>
      </c>
      <c r="AY14" s="108">
        <v>67.0345</v>
      </c>
      <c r="AZ14" s="361">
        <f t="shared" si="23"/>
        <v>0.152023166089519</v>
      </c>
      <c r="BA14" s="108">
        <v>56.7158</v>
      </c>
      <c r="BB14" s="361">
        <f t="shared" si="24"/>
        <v>-0.0348825930772543</v>
      </c>
      <c r="BC14" s="108">
        <v>64.4335</v>
      </c>
      <c r="BD14" s="361">
        <f t="shared" si="25"/>
        <v>0.112679680322717</v>
      </c>
      <c r="BE14" s="362">
        <v>62.0273</v>
      </c>
      <c r="BF14" s="361">
        <f t="shared" si="26"/>
        <v>0.00522975596632991</v>
      </c>
      <c r="BG14" s="108">
        <v>58.7452</v>
      </c>
      <c r="BH14" s="361">
        <f t="shared" si="27"/>
        <v>-0.0187595104587904</v>
      </c>
      <c r="BI14" s="108">
        <v>56.0173</v>
      </c>
      <c r="BJ14" s="361">
        <f t="shared" si="28"/>
        <v>-0.122794352540292</v>
      </c>
      <c r="BK14" s="108">
        <v>61.1138</v>
      </c>
      <c r="BL14" s="361">
        <f t="shared" si="29"/>
        <v>-0.0990537040285761</v>
      </c>
      <c r="BM14" s="108">
        <v>54.8223</v>
      </c>
      <c r="BN14" s="361">
        <f t="shared" si="30"/>
        <v>-0.0203568524789365</v>
      </c>
      <c r="BO14" s="108">
        <v>69.0372</v>
      </c>
      <c r="BP14" s="361">
        <f t="shared" si="31"/>
        <v>0.112190123918213</v>
      </c>
      <c r="BQ14" s="108">
        <v>51.7419</v>
      </c>
      <c r="BR14" s="361">
        <f t="shared" si="32"/>
        <v>-0.00199054491166961</v>
      </c>
      <c r="BS14" s="108">
        <v>47.1718</v>
      </c>
      <c r="BT14" s="361">
        <f t="shared" si="33"/>
        <v>-0.0276562194028467</v>
      </c>
      <c r="BU14" s="108">
        <f t="shared" si="34"/>
        <v>699.0357</v>
      </c>
      <c r="BV14" s="361">
        <f t="shared" si="35"/>
        <v>-0.000429264392118323</v>
      </c>
      <c r="BW14" s="364"/>
      <c r="BX14" s="450">
        <v>52.8154</v>
      </c>
      <c r="BY14" s="361">
        <f t="shared" si="36"/>
        <v>0.111287855355876</v>
      </c>
      <c r="BZ14" s="450">
        <v>58.1885</v>
      </c>
      <c r="CA14" s="361">
        <f t="shared" si="37"/>
        <v>0.00685732676728001</v>
      </c>
      <c r="CB14" s="108">
        <v>58.7657</v>
      </c>
      <c r="CC14" s="361">
        <f t="shared" si="38"/>
        <v>0.262646186108372</v>
      </c>
      <c r="CD14" s="108">
        <v>57.9084</v>
      </c>
      <c r="CE14" s="361">
        <v>0.320550856637257</v>
      </c>
      <c r="CF14" s="108">
        <v>61.7046</v>
      </c>
      <c r="CG14" s="361">
        <f t="shared" si="39"/>
        <v>0.369813079962705</v>
      </c>
      <c r="CH14" s="108">
        <v>59.8683</v>
      </c>
      <c r="CI14" s="361">
        <f t="shared" si="40"/>
        <v>0.336053720391521</v>
      </c>
      <c r="CJ14" s="108">
        <v>63.8588</v>
      </c>
      <c r="CK14" s="361">
        <f t="shared" si="41"/>
        <v>0.188539479757597</v>
      </c>
      <c r="CL14" s="108">
        <v>67.8329</v>
      </c>
      <c r="CM14" s="361">
        <f t="shared" si="42"/>
        <v>0.506932303133032</v>
      </c>
      <c r="CN14" s="108">
        <f>55.9615+CN16</f>
        <v>55.9615</v>
      </c>
      <c r="CO14" s="361">
        <f t="shared" si="43"/>
        <v>0.335029510136505</v>
      </c>
      <c r="CP14" s="108">
        <f>62.0732+CP16</f>
        <v>62.0732</v>
      </c>
      <c r="CQ14" s="361">
        <f t="shared" si="44"/>
        <v>0.829330252680345</v>
      </c>
      <c r="CR14" s="108">
        <v>51.8451</v>
      </c>
      <c r="CS14" s="361">
        <f t="shared" si="45"/>
        <v>0.868520827777097</v>
      </c>
      <c r="CT14" s="511">
        <v>48.5135</v>
      </c>
      <c r="CU14" s="361">
        <f t="shared" si="46"/>
        <v>0.662719520721659</v>
      </c>
      <c r="CV14" s="108">
        <f t="shared" si="47"/>
        <v>699.3359</v>
      </c>
      <c r="CW14" s="361">
        <f t="shared" si="48"/>
        <v>0.352460392330688</v>
      </c>
      <c r="CX14" s="365">
        <f t="shared" si="49"/>
        <v>-0.0642606533693638</v>
      </c>
      <c r="CY14" s="365"/>
      <c r="CZ14" s="453">
        <v>47.5263</v>
      </c>
      <c r="DA14" s="450">
        <v>57.7922</v>
      </c>
      <c r="DB14" s="450">
        <v>46.5417</v>
      </c>
      <c r="DC14" s="450">
        <v>43.8517</v>
      </c>
      <c r="DD14" s="108">
        <v>45.046</v>
      </c>
      <c r="DE14" s="108">
        <v>44.8098</v>
      </c>
      <c r="DF14" s="108">
        <v>53.7288</v>
      </c>
      <c r="DG14" s="108">
        <v>45.0139</v>
      </c>
      <c r="DH14" s="108">
        <v>41.9178</v>
      </c>
      <c r="DI14" s="108">
        <v>33.9322</v>
      </c>
      <c r="DJ14" s="108">
        <v>27.7466</v>
      </c>
      <c r="DK14" s="108">
        <v>29.1772</v>
      </c>
      <c r="DL14" s="108">
        <v>517.0842</v>
      </c>
      <c r="DM14" s="368">
        <v>-0.255004989357095</v>
      </c>
      <c r="DN14" s="369"/>
      <c r="DO14" s="370">
        <v>56.7426</v>
      </c>
      <c r="DP14" s="371">
        <f>(DO14-DX14)/DX14</f>
        <v>-0.275240255659611</v>
      </c>
      <c r="DQ14" s="374">
        <v>57.0941</v>
      </c>
      <c r="DR14" s="373"/>
      <c r="DS14" s="374">
        <v>60.0695</v>
      </c>
      <c r="DT14" s="373">
        <f t="shared" si="50"/>
        <v>3.4340569707617</v>
      </c>
      <c r="DU14" s="374"/>
      <c r="DV14" s="374">
        <v>67.945</v>
      </c>
      <c r="DW14" s="373">
        <f t="shared" si="51"/>
        <v>1.6416979650236</v>
      </c>
      <c r="DX14" s="374">
        <v>78.2916</v>
      </c>
      <c r="DY14" s="373">
        <f t="shared" si="52"/>
        <v>2.26215</v>
      </c>
      <c r="DZ14" s="374">
        <v>57.8819</v>
      </c>
      <c r="EA14" s="373">
        <f t="shared" si="53"/>
        <v>2.85879333333333</v>
      </c>
      <c r="EB14" s="374">
        <v>63.3864</v>
      </c>
      <c r="EC14" s="373">
        <f t="shared" si="54"/>
        <v>1.11288</v>
      </c>
      <c r="ED14" s="374">
        <v>42.1833</v>
      </c>
      <c r="EE14" s="373">
        <f t="shared" si="55"/>
        <v>-0.204088679245283</v>
      </c>
      <c r="EF14" s="374">
        <v>53.9917</v>
      </c>
      <c r="EG14" s="373">
        <f t="shared" si="56"/>
        <v>-0.452984932483911</v>
      </c>
      <c r="EH14" s="374">
        <v>62.0602</v>
      </c>
      <c r="EI14" s="373">
        <f t="shared" si="57"/>
        <v>-0.309545398411937</v>
      </c>
      <c r="EJ14" s="374">
        <v>47.9142</v>
      </c>
      <c r="EK14" s="373">
        <f t="shared" si="58"/>
        <v>-0.388712261936353</v>
      </c>
      <c r="EL14" s="374">
        <v>46.5169</v>
      </c>
      <c r="EM14" s="373">
        <f t="shared" si="59"/>
        <v>-0.254151982272904</v>
      </c>
      <c r="EN14" s="372">
        <f t="shared" si="64"/>
        <v>694.0774</v>
      </c>
      <c r="EO14" s="373">
        <f t="shared" si="60"/>
        <v>-0.110844792847377</v>
      </c>
      <c r="EP14" s="375">
        <v>290</v>
      </c>
      <c r="EQ14" s="373">
        <f>(EP14-FP14)/FP14</f>
        <v>-0.0235690235690236</v>
      </c>
      <c r="ER14" s="374">
        <v>0</v>
      </c>
      <c r="ES14" s="373">
        <f>(ER14-FQ14)/FQ14</f>
        <v>-1</v>
      </c>
      <c r="ET14" s="374">
        <v>13.5473</v>
      </c>
      <c r="EU14" s="373">
        <f>(ET14-FR14)/FR14</f>
        <v>-0.957128797468354</v>
      </c>
      <c r="EV14" s="374">
        <v>25.7202</v>
      </c>
      <c r="EW14" s="373">
        <f>(EV14-FS14)/FS14</f>
        <v>-0.8971192</v>
      </c>
      <c r="EX14" s="374">
        <v>24</v>
      </c>
      <c r="EY14" s="373">
        <f>(EX14-FT14)/FT14</f>
        <v>-0.900414937759336</v>
      </c>
      <c r="EZ14" s="374">
        <v>15</v>
      </c>
      <c r="FA14" s="373">
        <f>(EZ14-FU14)/FU14</f>
        <v>-0.943396226415094</v>
      </c>
      <c r="FB14" s="374">
        <v>30</v>
      </c>
      <c r="FC14" s="373">
        <f>(FB14-FV14)/FV14</f>
        <v>-0.886792452830189</v>
      </c>
      <c r="FD14" s="374">
        <v>53</v>
      </c>
      <c r="FE14" s="373">
        <f>(FD14-FW14)/FW14</f>
        <v>-0.792156862745098</v>
      </c>
      <c r="FF14" s="374">
        <v>98.7024</v>
      </c>
      <c r="FG14" s="373">
        <f>(FF14-FX14)/FX14</f>
        <v>-0.600395141700405</v>
      </c>
      <c r="FH14" s="374">
        <v>89.8831</v>
      </c>
      <c r="FI14" s="373">
        <f>(FH14-FY14)/FY14</f>
        <v>-0.650260311284047</v>
      </c>
      <c r="FJ14" s="374">
        <v>78.3824</v>
      </c>
      <c r="FK14" s="373">
        <f>(FJ14-GA14)/GA14</f>
        <v>-0.656217543859649</v>
      </c>
      <c r="FL14" s="374">
        <v>62.3678</v>
      </c>
      <c r="FM14" s="456">
        <f>(FL14-GC14)/GC14</f>
        <v>-0.772380291970803</v>
      </c>
      <c r="FN14" s="359">
        <v>780.6032</v>
      </c>
      <c r="FO14" s="358">
        <f>(FN14-(FP14+FQ14+FR14+FS14+FT14+FU14+FV14+FW14+FX14+FY14+GA14+GC14))/(FP14+FQ14+FR14+FS14+FT14+FU14+FV14+FW14+FX14+FY14+GA14+GC14)</f>
        <v>-0.761866015863331</v>
      </c>
      <c r="FP14" s="360">
        <v>297</v>
      </c>
      <c r="FQ14" s="360">
        <v>383</v>
      </c>
      <c r="FR14" s="360">
        <v>316</v>
      </c>
      <c r="FS14" s="360">
        <v>250</v>
      </c>
      <c r="FT14" s="360">
        <v>241</v>
      </c>
      <c r="FU14" s="360">
        <v>265</v>
      </c>
      <c r="FV14" s="455">
        <v>265</v>
      </c>
      <c r="FW14" s="459">
        <v>255</v>
      </c>
      <c r="FX14" s="459">
        <v>247</v>
      </c>
      <c r="FY14" s="459">
        <v>257</v>
      </c>
      <c r="FZ14" s="368">
        <f>(FY14-HA14)/HA14</f>
        <v>-0.0228136882129278</v>
      </c>
      <c r="GA14" s="459">
        <v>228</v>
      </c>
      <c r="GB14" s="368">
        <f>(GA14-HC14)/HC14</f>
        <v>-0.0214592274678112</v>
      </c>
      <c r="GC14" s="459">
        <v>274</v>
      </c>
      <c r="GD14" s="368">
        <f>(GC14-HE14)/HE14</f>
        <v>-0.0214285714285714</v>
      </c>
      <c r="GE14" s="455">
        <f>FP14+FQ14+FR14+FS14+FT14+FU14+FV14+FW14+FX14+FY14+GA14+GC14</f>
        <v>3278</v>
      </c>
      <c r="GF14" s="460">
        <f>(GE14-HG14)/HG14</f>
        <v>-0.0238237045860631</v>
      </c>
      <c r="GG14" s="317"/>
      <c r="GH14" s="378"/>
      <c r="GI14" s="379">
        <v>304</v>
      </c>
      <c r="GJ14" s="376">
        <f>(GI14-HL14)/HL14</f>
        <v>0.0133333333333333</v>
      </c>
      <c r="GK14" s="375">
        <v>394</v>
      </c>
      <c r="GL14" s="376">
        <f>(GK14-HN14)/HN14</f>
        <v>-0.0295566502463054</v>
      </c>
      <c r="GM14" s="375">
        <v>324</v>
      </c>
      <c r="GN14" s="376">
        <f>(GM14-HP14)/HP14</f>
        <v>-0.0121951219512195</v>
      </c>
      <c r="GO14" s="375">
        <v>256</v>
      </c>
      <c r="GP14" s="376">
        <f>(GO14-HR14)/HR14</f>
        <v>-0.0115830115830116</v>
      </c>
      <c r="GQ14" s="375">
        <v>246</v>
      </c>
      <c r="GR14" s="376">
        <f>(GQ14-HT14)/HT14</f>
        <v>-0.0120481927710843</v>
      </c>
      <c r="GS14" s="375">
        <v>271</v>
      </c>
      <c r="GT14" s="376">
        <f>(GS14-HW14)/HW14</f>
        <v>-0.0109489051094891</v>
      </c>
      <c r="GU14" s="375">
        <v>272</v>
      </c>
      <c r="GV14" s="376">
        <f>(GU14-HY14)/HY14</f>
        <v>-0.0109090909090909</v>
      </c>
      <c r="GW14" s="375">
        <v>262</v>
      </c>
      <c r="GX14" s="376">
        <f>(GW14-IA14)/IA14</f>
        <v>0.00769230769230769</v>
      </c>
      <c r="GY14" s="375">
        <v>253</v>
      </c>
      <c r="GZ14" s="376">
        <f>(GY14-IC14)/IC14</f>
        <v>-0.0155642023346304</v>
      </c>
      <c r="HA14" s="375">
        <v>263</v>
      </c>
      <c r="HB14" s="376">
        <f>(HA14-IE14)/IE14</f>
        <v>-0.0112781954887218</v>
      </c>
      <c r="HC14" s="375">
        <v>233</v>
      </c>
      <c r="HD14" s="376">
        <f>(HC14-IG14)/IG14</f>
        <v>-0.0127118644067797</v>
      </c>
      <c r="HE14" s="375">
        <v>280</v>
      </c>
      <c r="HF14" s="376">
        <f>(HE14-II14)/II14</f>
        <v>-0.0106007067137809</v>
      </c>
      <c r="HG14" s="375">
        <f>GI14+GK14+GM14+GO14+GQ14+GS14+GU14+GW14+GY14+HA14+HC14+HE14</f>
        <v>3358</v>
      </c>
      <c r="HH14" s="375">
        <f>HE14+HC14+HA14+GY14+GW14+GU14+GS14+GQ14+GO14+GM14+GK14+GI14</f>
        <v>3358</v>
      </c>
      <c r="HI14" s="377"/>
      <c r="HJ14" s="369"/>
      <c r="HK14" s="485"/>
      <c r="HL14" s="379">
        <v>300</v>
      </c>
      <c r="HM14" s="380">
        <f>(HL14-IN14)/IN14</f>
        <v>0.0273972602739726</v>
      </c>
      <c r="HN14" s="462">
        <v>406</v>
      </c>
      <c r="HO14" s="380">
        <f>(HN14-IP14)/IP14</f>
        <v>0.0278481012658228</v>
      </c>
      <c r="HP14" s="462">
        <v>328</v>
      </c>
      <c r="HQ14" s="466">
        <f>(HP14-IR14)/IR14</f>
        <v>0.0218068535825545</v>
      </c>
      <c r="HR14" s="464">
        <v>259</v>
      </c>
      <c r="HS14" s="465">
        <f>(HR14-IT14)/IT14</f>
        <v>0.0237154150197628</v>
      </c>
      <c r="HT14" s="512">
        <v>249</v>
      </c>
      <c r="HU14" s="465">
        <f>(HT14-IV14)/IV14</f>
        <v>0</v>
      </c>
      <c r="HV14" s="465"/>
      <c r="HW14" s="512">
        <v>274</v>
      </c>
      <c r="HX14" s="465">
        <f>(HW14-IX14)/IX14</f>
        <v>0.0223880597014925</v>
      </c>
      <c r="HY14" s="512">
        <v>275</v>
      </c>
      <c r="HZ14" s="465">
        <f>(HY14-IZ14)/IZ14</f>
        <v>0.0223048327137546</v>
      </c>
      <c r="IA14" s="375">
        <v>260</v>
      </c>
      <c r="IB14" s="390">
        <f>(IA14-JB14)/JB14</f>
        <v>0</v>
      </c>
      <c r="IC14" s="375">
        <v>257</v>
      </c>
      <c r="ID14" s="390">
        <f>(IC14-JD14)/JD14</f>
        <v>0.0239043824701195</v>
      </c>
      <c r="IE14" s="375">
        <v>266</v>
      </c>
      <c r="IF14" s="390">
        <f>(IE14-JF14)/JF14</f>
        <v>0.0230769230769231</v>
      </c>
      <c r="IG14" s="375">
        <v>236</v>
      </c>
      <c r="IH14" s="377">
        <f>(IG14-JH14)/JH14</f>
        <v>0.019746791686471</v>
      </c>
      <c r="II14" s="375">
        <v>283</v>
      </c>
      <c r="IJ14" s="309">
        <f>(II14-JJ14)/JJ14</f>
        <v>0.0216606498194946</v>
      </c>
      <c r="IK14" s="391">
        <f>HL14+HN14+HP14+HR14+HT14+HW14+HY14+IA14+IC14+IE14+IG14+II14</f>
        <v>3393</v>
      </c>
      <c r="IL14" s="104">
        <f>IK14/JL14-1</f>
        <v>0.0200124457752004</v>
      </c>
      <c r="IM14" s="392"/>
      <c r="IN14" s="467">
        <v>292</v>
      </c>
      <c r="IO14" s="413">
        <f>IN14/JP14-1</f>
        <v>0.0465587417840641</v>
      </c>
      <c r="IP14" s="414">
        <v>395</v>
      </c>
      <c r="IQ14" s="413">
        <f>IP14/JQ14-1</f>
        <v>0.0329085535729885</v>
      </c>
      <c r="IR14" s="414">
        <v>321</v>
      </c>
      <c r="IS14" s="394">
        <f>(IR14-JR14)/JR14</f>
        <v>0.0449184595321107</v>
      </c>
      <c r="IT14" s="513">
        <v>253</v>
      </c>
      <c r="IU14" s="413">
        <f>(IT14-JS14)/JS14</f>
        <v>0.0497172411560072</v>
      </c>
      <c r="IV14" s="513">
        <v>249</v>
      </c>
      <c r="IW14" s="413">
        <f>(IV14-JT14)/JT14</f>
        <v>0.0405464978389961</v>
      </c>
      <c r="IX14" s="513">
        <v>268</v>
      </c>
      <c r="IY14" s="413">
        <f>(IX14-JU14)/JU14</f>
        <v>0.0410383760647186</v>
      </c>
      <c r="IZ14" s="513">
        <v>269</v>
      </c>
      <c r="JA14" s="413">
        <f>(IZ14-JV14)/JV14</f>
        <v>0.0501888947273727</v>
      </c>
      <c r="JB14" s="414">
        <v>260</v>
      </c>
      <c r="JC14" s="413">
        <f>(JB14-JW14)/JW14</f>
        <v>0.0529616438056871</v>
      </c>
      <c r="JD14" s="414">
        <v>251</v>
      </c>
      <c r="JE14" s="469">
        <f>(JD14-JX14)/JX14</f>
        <v>0.0123239712050013</v>
      </c>
      <c r="JF14" s="414">
        <v>260</v>
      </c>
      <c r="JG14" s="471">
        <f>(JF14-JY14)/JY14</f>
        <v>0.0226536341686447</v>
      </c>
      <c r="JH14" s="514">
        <v>231.43</v>
      </c>
      <c r="JI14" s="380">
        <f>(JH14-JZ14)/JZ14</f>
        <v>0.0100211867977085</v>
      </c>
      <c r="JJ14" s="472">
        <v>277</v>
      </c>
      <c r="JK14" s="380">
        <f>(JJ14-KA14)/KA14</f>
        <v>0.0118812724316012</v>
      </c>
      <c r="JL14" s="399">
        <f t="shared" si="62"/>
        <v>3326.43</v>
      </c>
      <c r="JM14" s="398">
        <f>JL14/JO14-1</f>
        <v>0.0348174476423324</v>
      </c>
      <c r="JN14" s="400"/>
      <c r="JO14" s="383">
        <v>3214.50900115643</v>
      </c>
      <c r="JP14" s="374">
        <v>279.009661227643</v>
      </c>
      <c r="JQ14" s="374">
        <v>382.415266708398</v>
      </c>
      <c r="JR14" s="374">
        <v>307.201004127859</v>
      </c>
      <c r="JS14" s="374">
        <v>241.017285494313</v>
      </c>
      <c r="JT14" s="374">
        <v>239.297331274597</v>
      </c>
      <c r="JU14" s="374">
        <v>257.435274396973</v>
      </c>
      <c r="JV14" s="374">
        <v>256.144395880164</v>
      </c>
      <c r="JW14" s="374">
        <v>246.922574558642</v>
      </c>
      <c r="JX14" s="374">
        <v>247.944341080086</v>
      </c>
      <c r="JY14" s="374">
        <v>254.240528085899</v>
      </c>
      <c r="JZ14" s="374">
        <v>229.133807315224</v>
      </c>
      <c r="KA14" s="374">
        <v>273.747531006632</v>
      </c>
    </row>
    <row r="15" ht="28.8" hidden="1" customHeight="1" spans="1:287">
      <c r="A15" s="401"/>
      <c r="B15" s="141" t="s">
        <v>209</v>
      </c>
      <c r="C15" s="163">
        <v>4442.6528</v>
      </c>
      <c r="D15" s="359">
        <f t="shared" si="0"/>
        <v>-0.16493417849426</v>
      </c>
      <c r="E15" s="109">
        <v>6222.1126</v>
      </c>
      <c r="F15" s="359">
        <f t="shared" si="1"/>
        <v>-0.0774537543883538</v>
      </c>
      <c r="G15" s="109">
        <v>5800.6944</v>
      </c>
      <c r="H15" s="359">
        <f t="shared" si="2"/>
        <v>0.119223040392092</v>
      </c>
      <c r="I15" s="109">
        <v>6318.1348</v>
      </c>
      <c r="J15" s="359">
        <f t="shared" si="3"/>
        <v>0.00475011802938075</v>
      </c>
      <c r="K15" s="109">
        <v>6328.6093</v>
      </c>
      <c r="L15" s="359">
        <f t="shared" si="4"/>
        <v>0.0475888111865888</v>
      </c>
      <c r="M15" s="109">
        <v>5538.8125</v>
      </c>
      <c r="N15" s="359">
        <f t="shared" si="5"/>
        <v>-0.125731762741486</v>
      </c>
      <c r="O15" s="109">
        <v>5530.4414</v>
      </c>
      <c r="P15" s="359">
        <f t="shared" si="6"/>
        <v>0.0747250099253525</v>
      </c>
      <c r="Q15" s="127"/>
      <c r="R15" s="127"/>
      <c r="S15" s="109">
        <f t="shared" si="7"/>
        <v>40181.4578</v>
      </c>
      <c r="T15" s="359">
        <f t="shared" si="8"/>
        <v>-0.147251098534396</v>
      </c>
      <c r="U15" s="359"/>
      <c r="V15" s="163">
        <v>5320.1229</v>
      </c>
      <c r="W15" s="359">
        <f t="shared" si="9"/>
        <v>-0.0166716694496187</v>
      </c>
      <c r="X15" s="93">
        <v>6744.4994</v>
      </c>
      <c r="Y15" s="402">
        <f t="shared" si="10"/>
        <v>-0.013559120692855</v>
      </c>
      <c r="Z15" s="93">
        <v>5182.7868</v>
      </c>
      <c r="AA15" s="402">
        <f t="shared" si="11"/>
        <v>-0.1095356725612</v>
      </c>
      <c r="AB15" s="93">
        <v>6288.2648</v>
      </c>
      <c r="AC15" s="402">
        <f t="shared" si="12"/>
        <v>-0.0262724567878209</v>
      </c>
      <c r="AD15" s="93">
        <v>6041.1196</v>
      </c>
      <c r="AE15" s="402">
        <f t="shared" si="13"/>
        <v>-0.0204254836559501</v>
      </c>
      <c r="AF15" s="93">
        <v>6335.3697</v>
      </c>
      <c r="AG15" s="402">
        <f t="shared" si="14"/>
        <v>0.125103337863379</v>
      </c>
      <c r="AH15" s="93">
        <v>5145.913</v>
      </c>
      <c r="AI15" s="402">
        <f t="shared" si="15"/>
        <v>-0.161088227491939</v>
      </c>
      <c r="AJ15" s="93">
        <v>6061.8412</v>
      </c>
      <c r="AK15" s="402">
        <f t="shared" si="16"/>
        <v>-0.045287956853571</v>
      </c>
      <c r="AL15" s="93">
        <v>5254.1807</v>
      </c>
      <c r="AM15" s="402">
        <f t="shared" si="17"/>
        <v>-0.0739933037249321</v>
      </c>
      <c r="AN15" s="93">
        <v>5743.0441</v>
      </c>
      <c r="AO15" s="402">
        <f t="shared" si="18"/>
        <v>-0.190949885301862</v>
      </c>
      <c r="AP15" s="93">
        <v>4862.8408</v>
      </c>
      <c r="AQ15" s="402">
        <f t="shared" si="19"/>
        <v>-0.0547961713851564</v>
      </c>
      <c r="AR15" s="93">
        <v>4174.5837</v>
      </c>
      <c r="AS15" s="402">
        <f t="shared" si="20"/>
        <v>-0.108854567533092</v>
      </c>
      <c r="AT15" s="107">
        <f t="shared" si="21"/>
        <v>67154.5667</v>
      </c>
      <c r="AU15" s="359">
        <f t="shared" si="22"/>
        <v>-0.0595784170180674</v>
      </c>
      <c r="AV15" s="360"/>
      <c r="AW15" s="488">
        <v>5410.322</v>
      </c>
      <c r="AX15" s="404">
        <v>0.0796637460673444</v>
      </c>
      <c r="AY15" s="403">
        <v>6837.2059</v>
      </c>
      <c r="AZ15" s="405">
        <f t="shared" si="23"/>
        <v>0.176817645282042</v>
      </c>
      <c r="BA15" s="403">
        <v>5820.3194</v>
      </c>
      <c r="BB15" s="405">
        <f t="shared" si="24"/>
        <v>0.0299882495761707</v>
      </c>
      <c r="BC15" s="403">
        <v>6457.9305</v>
      </c>
      <c r="BD15" s="405">
        <f t="shared" si="25"/>
        <v>0.0715072891652324</v>
      </c>
      <c r="BE15" s="406">
        <v>6167.0853</v>
      </c>
      <c r="BF15" s="405">
        <f t="shared" si="26"/>
        <v>0.0229840960602452</v>
      </c>
      <c r="BG15" s="403">
        <v>5630.9225</v>
      </c>
      <c r="BH15" s="405">
        <f t="shared" si="27"/>
        <v>-0.0673755802938237</v>
      </c>
      <c r="BI15" s="403">
        <v>6134.0336</v>
      </c>
      <c r="BJ15" s="405">
        <f t="shared" si="28"/>
        <v>-0.0887504512212972</v>
      </c>
      <c r="BK15" s="163">
        <v>6349.3922</v>
      </c>
      <c r="BL15" s="402">
        <f t="shared" si="29"/>
        <v>-0.0760057039917027</v>
      </c>
      <c r="BM15" s="163">
        <v>5674.0202</v>
      </c>
      <c r="BN15" s="402">
        <f t="shared" si="30"/>
        <v>-0.0149214220338169</v>
      </c>
      <c r="BO15" s="163">
        <v>7098.5023</v>
      </c>
      <c r="BP15" s="402">
        <f t="shared" si="31"/>
        <v>0.106494888294557</v>
      </c>
      <c r="BQ15" s="163">
        <v>5144.7536</v>
      </c>
      <c r="BR15" s="402">
        <f t="shared" si="32"/>
        <v>-0.0422888000000149</v>
      </c>
      <c r="BS15" s="163">
        <v>4684.5145</v>
      </c>
      <c r="BT15" s="402">
        <f t="shared" si="33"/>
        <v>-0.0596121354204117</v>
      </c>
      <c r="BU15" s="109">
        <f t="shared" si="34"/>
        <v>71409.002</v>
      </c>
      <c r="BV15" s="359">
        <f t="shared" si="35"/>
        <v>0.01007273717333</v>
      </c>
      <c r="BW15" s="429"/>
      <c r="BX15" s="93">
        <v>5011.1176</v>
      </c>
      <c r="BY15" s="402">
        <f t="shared" si="36"/>
        <v>0.0234220289168856</v>
      </c>
      <c r="BZ15" s="93">
        <v>5809.9111</v>
      </c>
      <c r="CA15" s="359">
        <f t="shared" si="37"/>
        <v>-0.0641076723710097</v>
      </c>
      <c r="CB15" s="109">
        <v>5650.86</v>
      </c>
      <c r="CC15" s="359">
        <f t="shared" si="38"/>
        <v>0.176979387416518</v>
      </c>
      <c r="CD15" s="109">
        <v>6026.959</v>
      </c>
      <c r="CE15" s="359">
        <v>0.388531239124308</v>
      </c>
      <c r="CF15" s="163">
        <v>6028.5251</v>
      </c>
      <c r="CG15" s="359">
        <f t="shared" si="39"/>
        <v>0.393568280932209</v>
      </c>
      <c r="CH15" s="163">
        <v>6037.7172</v>
      </c>
      <c r="CI15" s="359">
        <f t="shared" si="40"/>
        <v>0.277350274863197</v>
      </c>
      <c r="CJ15" s="163">
        <v>6731.4531</v>
      </c>
      <c r="CK15" s="359">
        <f t="shared" si="41"/>
        <v>0.208087467470114</v>
      </c>
      <c r="CL15" s="109">
        <v>6871.679</v>
      </c>
      <c r="CM15" s="359">
        <f t="shared" si="42"/>
        <v>0.63737369479649</v>
      </c>
      <c r="CN15" s="109">
        <v>5759.9671</v>
      </c>
      <c r="CO15" s="359">
        <f t="shared" si="43"/>
        <v>0.43669907622216</v>
      </c>
      <c r="CP15" s="109">
        <f>6415.3051+CP17</f>
        <v>6415.3051</v>
      </c>
      <c r="CQ15" s="359">
        <f t="shared" si="44"/>
        <v>1.31299891159017</v>
      </c>
      <c r="CR15" s="109">
        <v>5371.9259</v>
      </c>
      <c r="CS15" s="359">
        <f t="shared" si="45"/>
        <v>1.26818551902328</v>
      </c>
      <c r="CT15" s="109">
        <v>4981.4706</v>
      </c>
      <c r="CU15" s="359">
        <f t="shared" si="46"/>
        <v>0.82391485579088</v>
      </c>
      <c r="CV15" s="109">
        <f t="shared" si="47"/>
        <v>70696.8908</v>
      </c>
      <c r="CW15" s="359">
        <f t="shared" si="48"/>
        <v>0.38757915969586</v>
      </c>
      <c r="CX15" s="408">
        <f t="shared" si="49"/>
        <v>-0.0726844165888439</v>
      </c>
      <c r="CY15" s="408"/>
      <c r="CZ15" s="490">
        <v>4896.4332</v>
      </c>
      <c r="DA15" s="93">
        <v>6207.8841</v>
      </c>
      <c r="DB15" s="93">
        <v>4801.1546</v>
      </c>
      <c r="DC15" s="107">
        <v>4340.5282</v>
      </c>
      <c r="DD15" s="163">
        <v>4325.9632</v>
      </c>
      <c r="DE15" s="163">
        <v>4726.7514</v>
      </c>
      <c r="DF15" s="109">
        <v>5571.9915</v>
      </c>
      <c r="DG15" s="109">
        <v>4196.7689</v>
      </c>
      <c r="DH15" s="109">
        <v>4009.1674</v>
      </c>
      <c r="DI15" s="109">
        <v>2773.5876</v>
      </c>
      <c r="DJ15" s="109">
        <v>2368.3803</v>
      </c>
      <c r="DK15" s="109">
        <v>2731.1969</v>
      </c>
      <c r="DL15" s="109">
        <v>50949.8073</v>
      </c>
      <c r="DM15" s="410">
        <v>-0.323352265163024</v>
      </c>
      <c r="DN15" s="411"/>
      <c r="DO15" s="412">
        <v>5392.7653</v>
      </c>
      <c r="DP15" s="87">
        <f>(DO15-DX15)/DX15</f>
        <v>-0.39476945823718</v>
      </c>
      <c r="DQ15" s="424">
        <v>5654.4842</v>
      </c>
      <c r="DR15" s="304"/>
      <c r="DS15" s="424">
        <v>7178.2246</v>
      </c>
      <c r="DT15" s="104">
        <f t="shared" si="50"/>
        <v>7.83106424650422</v>
      </c>
      <c r="DU15" s="103"/>
      <c r="DV15" s="424">
        <v>7298.0344</v>
      </c>
      <c r="DW15" s="104">
        <f t="shared" si="51"/>
        <v>3.72911978393118</v>
      </c>
      <c r="DX15" s="424">
        <v>8910.2663</v>
      </c>
      <c r="DY15" s="104">
        <f t="shared" si="52"/>
        <v>5.18768493055556</v>
      </c>
      <c r="DZ15" s="424">
        <v>6669.3579</v>
      </c>
      <c r="EA15" s="104">
        <f t="shared" si="53"/>
        <v>5.84036707692308</v>
      </c>
      <c r="EB15" s="424">
        <v>7174.8116</v>
      </c>
      <c r="EC15" s="104">
        <f t="shared" si="54"/>
        <v>2.67939056410256</v>
      </c>
      <c r="ED15" s="424">
        <v>4355.0407</v>
      </c>
      <c r="EE15" s="104">
        <f t="shared" si="55"/>
        <v>0.0956077232704401</v>
      </c>
      <c r="EF15" s="424">
        <v>6233.7504</v>
      </c>
      <c r="EG15" s="104">
        <f t="shared" si="56"/>
        <v>-0.268884325233962</v>
      </c>
      <c r="EH15" s="424">
        <v>6550.7219</v>
      </c>
      <c r="EI15" s="104">
        <f t="shared" si="57"/>
        <v>-0.358206064435202</v>
      </c>
      <c r="EJ15" s="424">
        <v>5049.7519</v>
      </c>
      <c r="EK15" s="104">
        <f t="shared" si="58"/>
        <v>-0.577295389804739</v>
      </c>
      <c r="EL15" s="424">
        <v>4830.1792</v>
      </c>
      <c r="EM15" s="104">
        <f t="shared" si="59"/>
        <v>-0.165454786683039</v>
      </c>
      <c r="EN15" s="93">
        <f t="shared" si="64"/>
        <v>75297.3884</v>
      </c>
      <c r="EO15" s="104">
        <f t="shared" si="60"/>
        <v>0.0918775686232203</v>
      </c>
      <c r="EP15" s="515">
        <v>21798</v>
      </c>
      <c r="EQ15" s="104">
        <f>(EP15-FP15)/FP15</f>
        <v>-0.0217654714356236</v>
      </c>
      <c r="ER15" s="424">
        <v>0</v>
      </c>
      <c r="ES15" s="104">
        <f>(ER15-FQ15)/FQ15</f>
        <v>-1</v>
      </c>
      <c r="ET15" s="424">
        <v>812.838</v>
      </c>
      <c r="EU15" s="104">
        <f>(ET15-FR15)/FR15</f>
        <v>-0.969222340022719</v>
      </c>
      <c r="EV15" s="424">
        <v>1543.212</v>
      </c>
      <c r="EW15" s="104">
        <f>(EV15-FS15)/FS15</f>
        <v>-0.928316053511706</v>
      </c>
      <c r="EX15" s="424">
        <v>1440</v>
      </c>
      <c r="EY15" s="104">
        <f>(EX15-FT15)/FT15</f>
        <v>-0.942446043165468</v>
      </c>
      <c r="EZ15" s="424">
        <v>975</v>
      </c>
      <c r="FA15" s="104">
        <f>(EZ15-FU15)/FU15</f>
        <v>-0.958141931052247</v>
      </c>
      <c r="FB15" s="424">
        <v>1950</v>
      </c>
      <c r="FC15" s="104">
        <f>(FB15-FV15)/FV15</f>
        <v>-0.920615534929165</v>
      </c>
      <c r="FD15" s="424">
        <v>3975</v>
      </c>
      <c r="FE15" s="104">
        <f>(FD15-FW15)/FW15</f>
        <v>-0.830519314402661</v>
      </c>
      <c r="FF15" s="424">
        <v>8526.3531</v>
      </c>
      <c r="FG15" s="104">
        <f>(FF15-FX15)/FX15</f>
        <v>-0.670275219459376</v>
      </c>
      <c r="FH15" s="424">
        <v>10206.8928</v>
      </c>
      <c r="FI15" s="104">
        <f>(FH15-FY15)/FY15</f>
        <v>-0.552191778177511</v>
      </c>
      <c r="FJ15" s="424">
        <v>11946.2901</v>
      </c>
      <c r="FK15" s="104">
        <f>(FJ15-GA15)/GA15</f>
        <v>-0.391891570374141</v>
      </c>
      <c r="FL15" s="424">
        <v>5787.7981</v>
      </c>
      <c r="FM15" s="456">
        <f>(FL15-GC15)/GC15</f>
        <v>-0.835105467236467</v>
      </c>
      <c r="FN15" s="95">
        <v>68961.3841</v>
      </c>
      <c r="FO15" s="96">
        <f>(FN15-(FP15+FQ15+FR15+FS15+FT15+FU15+FV15+FW15+FX15+FY15+GA15+GC15))/(FP15+FQ15+FR15+FS15+FT15+FU15+FV15+FW15+FX15+FY15+GA15+GC15)</f>
        <v>-0.768924043681057</v>
      </c>
      <c r="FP15" s="490">
        <v>22283</v>
      </c>
      <c r="FQ15" s="490">
        <v>28487</v>
      </c>
      <c r="FR15" s="490">
        <v>26410</v>
      </c>
      <c r="FS15" s="490">
        <v>21528</v>
      </c>
      <c r="FT15" s="490">
        <v>25020</v>
      </c>
      <c r="FU15" s="490">
        <v>23293</v>
      </c>
      <c r="FV15" s="515">
        <v>24564</v>
      </c>
      <c r="FW15" s="480">
        <v>23454</v>
      </c>
      <c r="FX15" s="480">
        <v>25859</v>
      </c>
      <c r="FY15" s="480">
        <v>22793</v>
      </c>
      <c r="FZ15" s="491">
        <f>(FY15-HA15)/HA15</f>
        <v>-0.0205405869966912</v>
      </c>
      <c r="GA15" s="480">
        <v>19645</v>
      </c>
      <c r="GB15" s="491">
        <f>(GA15-HC15)/HC15</f>
        <v>-0.0209319710939447</v>
      </c>
      <c r="GC15" s="480">
        <v>35100</v>
      </c>
      <c r="GD15" s="491">
        <f>(GC15-HE15)/HE15</f>
        <v>-0.0185935970921292</v>
      </c>
      <c r="GE15" s="492">
        <f>FP15+FQ15+FR15+FS15+FT15+FU15+FV15+FW15+FX15+FY15+GA15+GC15</f>
        <v>298436</v>
      </c>
      <c r="GF15" s="481">
        <f>(GE15-HG15)/HG15</f>
        <v>-0.0199628918115692</v>
      </c>
      <c r="GG15" s="415"/>
      <c r="GH15" s="318"/>
      <c r="GI15" s="417">
        <v>22731</v>
      </c>
      <c r="GJ15" s="104">
        <f>(GI15-HL15)/HL15</f>
        <v>0.0207463289775024</v>
      </c>
      <c r="GK15" s="103">
        <v>29093</v>
      </c>
      <c r="GL15" s="104">
        <f>(GK15-HN15)/HN15</f>
        <v>-0.0305241760805092</v>
      </c>
      <c r="GM15" s="424">
        <v>26898</v>
      </c>
      <c r="GN15" s="104">
        <f>(GM15-HP15)/HP15</f>
        <v>-0.0158428158501335</v>
      </c>
      <c r="GO15" s="424">
        <v>21963</v>
      </c>
      <c r="GP15" s="104">
        <f>(GO15-HR15)/HR15</f>
        <v>-0.0158182469976698</v>
      </c>
      <c r="GQ15" s="424">
        <v>25496</v>
      </c>
      <c r="GR15" s="104">
        <f>(GQ15-HT15)/HT15</f>
        <v>-0.0141901558210571</v>
      </c>
      <c r="GS15" s="103">
        <v>23696</v>
      </c>
      <c r="GT15" s="104">
        <f>(GS15-HW15)/HW15</f>
        <v>-0.0125020836806134</v>
      </c>
      <c r="GU15" s="103">
        <v>25063</v>
      </c>
      <c r="GV15" s="104">
        <f>(GU15-HY15)/HY15</f>
        <v>-0.0125290571687483</v>
      </c>
      <c r="GW15" s="103">
        <v>24031</v>
      </c>
      <c r="GX15" s="104">
        <f>(GW15-IA15)/IA15</f>
        <v>0.00704018773833969</v>
      </c>
      <c r="GY15" s="103">
        <v>26443</v>
      </c>
      <c r="GZ15" s="104">
        <f>(GY15-IC15)/IC15</f>
        <v>-0.0131736080011942</v>
      </c>
      <c r="HA15" s="103">
        <v>23271</v>
      </c>
      <c r="HB15" s="104">
        <f>(HA15-IE15)/IE15</f>
        <v>-0.0120988283239939</v>
      </c>
      <c r="HC15" s="103">
        <v>20065</v>
      </c>
      <c r="HD15" s="104">
        <f>(HC15-IG15)/IG15</f>
        <v>-0.0113815530153725</v>
      </c>
      <c r="HE15" s="103">
        <v>35765</v>
      </c>
      <c r="HF15" s="104">
        <f>(HE15-II15)/II15</f>
        <v>-0.01012980543024</v>
      </c>
      <c r="HG15" s="414">
        <f>GI15+GK15+GM15+GO15+GQ15+GS15+GU15+GW15+GY15+HA15+HC15+HE15</f>
        <v>304515</v>
      </c>
      <c r="HH15" s="103">
        <f>HE15+HC15+HA15+GY15+GW15+GU15+GS15+GQ15+GO15+GM15+GK15+GI15</f>
        <v>304515</v>
      </c>
      <c r="HI15" s="394"/>
      <c r="HJ15" s="411"/>
      <c r="HK15" s="493"/>
      <c r="HL15" s="417">
        <v>22269</v>
      </c>
      <c r="HM15" s="418">
        <f>(HL15-IN15)/IN15</f>
        <v>0.0340360326894502</v>
      </c>
      <c r="HN15" s="421">
        <v>30009</v>
      </c>
      <c r="HO15" s="418">
        <f>(HN15-IP15)/IP15</f>
        <v>0.0360435007767996</v>
      </c>
      <c r="HP15" s="421">
        <v>27331</v>
      </c>
      <c r="HQ15" s="423">
        <f>(HP15-IR15)/IR15</f>
        <v>0.0308139096326469</v>
      </c>
      <c r="HR15" s="439">
        <v>22316</v>
      </c>
      <c r="HS15" s="304">
        <f>(HR15-IT15)/IT15</f>
        <v>0.0347289840960727</v>
      </c>
      <c r="HT15" s="517">
        <v>25863</v>
      </c>
      <c r="HU15" s="304">
        <f>(HT15-IV15)/IV15</f>
        <v>0</v>
      </c>
      <c r="HV15" s="304"/>
      <c r="HW15" s="517">
        <v>23996</v>
      </c>
      <c r="HX15" s="304">
        <f>(HW15-IX15)/IX15</f>
        <v>0.02389486260454</v>
      </c>
      <c r="HY15" s="517">
        <v>25381</v>
      </c>
      <c r="HZ15" s="304">
        <f>(HY15-IZ15)/IZ15</f>
        <v>0.0301148585575713</v>
      </c>
      <c r="IA15" s="103">
        <v>23863</v>
      </c>
      <c r="IB15" s="422">
        <f>(IA15-JB15)/JB15</f>
        <v>0</v>
      </c>
      <c r="IC15" s="103">
        <v>26796</v>
      </c>
      <c r="ID15" s="425">
        <f>(IC15-JD15)/JD15</f>
        <v>0.0306153846153846</v>
      </c>
      <c r="IE15" s="103">
        <v>23556</v>
      </c>
      <c r="IF15" s="425">
        <f>(IE15-JF15)/JF15</f>
        <v>0.0354285714285714</v>
      </c>
      <c r="IG15" s="103">
        <v>20296</v>
      </c>
      <c r="IH15" s="309">
        <f>(IG15-JH15)/JH15</f>
        <v>0.0323520495463877</v>
      </c>
      <c r="II15" s="103">
        <v>36131</v>
      </c>
      <c r="IJ15" s="309">
        <f>(II15-JJ15)/JJ15</f>
        <v>0.0320194230219937</v>
      </c>
      <c r="IK15" s="391">
        <f>HL15+HN15+HP15+HR15+HT15+HW15+HY15+IA15+IC15+IE15+IG15+II15</f>
        <v>307807</v>
      </c>
      <c r="IL15" s="104">
        <f>IK15/JL15-1</f>
        <v>0.0266976683619136</v>
      </c>
      <c r="IM15" s="318"/>
      <c r="IN15" s="518">
        <v>21536</v>
      </c>
      <c r="IO15" s="304">
        <f>IN15/JP15-1</f>
        <v>0.0508837273622147</v>
      </c>
      <c r="IP15" s="103">
        <v>28965</v>
      </c>
      <c r="IQ15" s="304">
        <f>IP15/JQ15-1</f>
        <v>0.0417903356792124</v>
      </c>
      <c r="IR15" s="424">
        <v>26514</v>
      </c>
      <c r="IS15" s="394">
        <f>(IR15-JR15)/JR15</f>
        <v>0.051955888157175</v>
      </c>
      <c r="IT15" s="517">
        <v>21567</v>
      </c>
      <c r="IU15" s="304">
        <f>(IT15-JS15)/JS15</f>
        <v>0.0534695049351196</v>
      </c>
      <c r="IV15" s="517">
        <v>25863</v>
      </c>
      <c r="IW15" s="304">
        <f>(IV15-JT15)/JT15</f>
        <v>0.0506826535516364</v>
      </c>
      <c r="IX15" s="517">
        <v>23436</v>
      </c>
      <c r="IY15" s="104">
        <f>(IX15-JU15)/JU15</f>
        <v>0.053391532905643</v>
      </c>
      <c r="IZ15" s="517">
        <v>24639</v>
      </c>
      <c r="JA15" s="104">
        <f>(IZ15-JV15)/JV15</f>
        <v>0.0471713302968887</v>
      </c>
      <c r="JB15" s="103">
        <v>23863</v>
      </c>
      <c r="JC15" s="104">
        <f>(JB15-JW15)/JW15</f>
        <v>0.0433247637641838</v>
      </c>
      <c r="JD15" s="103">
        <v>26000</v>
      </c>
      <c r="JE15" s="394">
        <f>(JD15-JX15)/JX15</f>
        <v>0.0246970606107421</v>
      </c>
      <c r="JF15" s="103">
        <v>22750</v>
      </c>
      <c r="JG15" s="418">
        <f>(JF15-JY15)/JY15</f>
        <v>0.0387472805373244</v>
      </c>
      <c r="JH15" s="519">
        <v>19659.96</v>
      </c>
      <c r="JI15" s="418">
        <f>(JH15-JZ15)/JZ15</f>
        <v>0.0199997456388545</v>
      </c>
      <c r="JJ15" s="103">
        <v>35010</v>
      </c>
      <c r="JK15" s="418">
        <f>(JJ15-KA15)/KA15</f>
        <v>0.0227897985137899</v>
      </c>
      <c r="JL15" s="399">
        <f t="shared" si="62"/>
        <v>299802.96</v>
      </c>
      <c r="JM15" s="398">
        <f>JL15/JO15-1</f>
        <v>0.0409210106178368</v>
      </c>
      <c r="JN15" s="400"/>
      <c r="JO15" s="518">
        <v>288017.012762623</v>
      </c>
      <c r="JP15" s="424">
        <v>20493.2281652669</v>
      </c>
      <c r="JQ15" s="424">
        <v>27803.0991534547</v>
      </c>
      <c r="JR15" s="424">
        <v>25204.4789125592</v>
      </c>
      <c r="JS15" s="424">
        <v>20472.3533989038</v>
      </c>
      <c r="JT15" s="424">
        <v>24615.4249454628</v>
      </c>
      <c r="JU15" s="424">
        <v>22248.1378176212</v>
      </c>
      <c r="JV15" s="424">
        <v>23529.1010049086</v>
      </c>
      <c r="JW15" s="424">
        <v>22872.0728471021</v>
      </c>
      <c r="JX15" s="424">
        <v>25373.3527687719</v>
      </c>
      <c r="JY15" s="424">
        <v>21901.3810445134</v>
      </c>
      <c r="JZ15" s="424">
        <v>19274.475394782</v>
      </c>
      <c r="KA15" s="424">
        <v>34229.9073092759</v>
      </c>
    </row>
    <row r="16" ht="28.8" customHeight="1" spans="1:287">
      <c r="A16" s="401"/>
      <c r="B16" s="141" t="s">
        <v>211</v>
      </c>
      <c r="C16" s="168"/>
      <c r="D16" s="402"/>
      <c r="E16" s="163"/>
      <c r="F16" s="474"/>
      <c r="G16" s="163"/>
      <c r="H16" s="474"/>
      <c r="I16" s="163"/>
      <c r="J16" s="474"/>
      <c r="K16" s="163"/>
      <c r="L16" s="474"/>
      <c r="M16" s="163"/>
      <c r="N16" s="402"/>
      <c r="O16" s="163"/>
      <c r="P16" s="402"/>
      <c r="Q16" s="127"/>
      <c r="R16" s="127"/>
      <c r="S16" s="109">
        <f t="shared" si="7"/>
        <v>0</v>
      </c>
      <c r="T16" s="359" t="e">
        <f t="shared" si="8"/>
        <v>#DIV/0!</v>
      </c>
      <c r="U16" s="404"/>
      <c r="V16" s="168"/>
      <c r="W16" s="402"/>
      <c r="X16" s="167"/>
      <c r="Y16" s="402"/>
      <c r="Z16" s="167"/>
      <c r="AA16" s="402"/>
      <c r="AB16" s="167"/>
      <c r="AC16" s="402"/>
      <c r="AD16" s="167"/>
      <c r="AE16" s="402"/>
      <c r="AF16" s="167"/>
      <c r="AG16" s="402"/>
      <c r="AH16" s="167"/>
      <c r="AI16" s="402"/>
      <c r="AJ16" s="167"/>
      <c r="AK16" s="402"/>
      <c r="AL16" s="167"/>
      <c r="AM16" s="402"/>
      <c r="AN16" s="167"/>
      <c r="AO16" s="402"/>
      <c r="AP16" s="167"/>
      <c r="AQ16" s="402"/>
      <c r="AR16" s="167"/>
      <c r="AS16" s="402"/>
      <c r="AT16" s="93">
        <f t="shared" si="21"/>
        <v>0</v>
      </c>
      <c r="AU16" s="402" t="e">
        <f t="shared" si="22"/>
        <v>#DIV/0!</v>
      </c>
      <c r="AV16" s="360"/>
      <c r="AW16" s="167"/>
      <c r="AX16" s="402"/>
      <c r="AY16" s="402"/>
      <c r="AZ16" s="402"/>
      <c r="BA16" s="402"/>
      <c r="BB16" s="402"/>
      <c r="BC16" s="402"/>
      <c r="BD16" s="402"/>
      <c r="BE16" s="402"/>
      <c r="BF16" s="402"/>
      <c r="BG16" s="402"/>
      <c r="BH16" s="402"/>
      <c r="BI16" s="402"/>
      <c r="BJ16" s="402"/>
      <c r="BK16" s="402"/>
      <c r="BL16" s="402"/>
      <c r="BM16" s="402"/>
      <c r="BN16" s="402"/>
      <c r="BO16" s="402"/>
      <c r="BP16" s="402"/>
      <c r="BQ16" s="402"/>
      <c r="BR16" s="402"/>
      <c r="BS16" s="402"/>
      <c r="BT16" s="402"/>
      <c r="BU16" s="163">
        <f t="shared" si="34"/>
        <v>0</v>
      </c>
      <c r="BV16" s="402" t="e">
        <f t="shared" si="35"/>
        <v>#DIV/0!</v>
      </c>
      <c r="BW16" s="429"/>
      <c r="BX16" s="93">
        <v>0</v>
      </c>
      <c r="BY16" s="402">
        <f t="shared" si="36"/>
        <v>-1</v>
      </c>
      <c r="BZ16" s="93">
        <v>0</v>
      </c>
      <c r="CA16" s="402">
        <f t="shared" si="37"/>
        <v>-1</v>
      </c>
      <c r="CB16" s="163">
        <v>0</v>
      </c>
      <c r="CC16" s="402">
        <f t="shared" si="38"/>
        <v>-1</v>
      </c>
      <c r="CD16" s="163">
        <v>0</v>
      </c>
      <c r="CE16" s="402">
        <v>-1</v>
      </c>
      <c r="CF16" s="163">
        <v>0</v>
      </c>
      <c r="CG16" s="402">
        <f t="shared" si="39"/>
        <v>-1</v>
      </c>
      <c r="CH16" s="163">
        <v>0</v>
      </c>
      <c r="CI16" s="402" t="e">
        <f t="shared" si="40"/>
        <v>#DIV/0!</v>
      </c>
      <c r="CJ16" s="163">
        <v>0</v>
      </c>
      <c r="CK16" s="402" t="e">
        <f t="shared" si="41"/>
        <v>#DIV/0!</v>
      </c>
      <c r="CL16" s="163">
        <v>0</v>
      </c>
      <c r="CM16" s="402" t="e">
        <f t="shared" si="42"/>
        <v>#DIV/0!</v>
      </c>
      <c r="CN16" s="163">
        <v>0</v>
      </c>
      <c r="CO16" s="402" t="e">
        <f t="shared" si="43"/>
        <v>#DIV/0!</v>
      </c>
      <c r="CP16" s="163">
        <v>0</v>
      </c>
      <c r="CQ16" s="402" t="e">
        <f t="shared" si="44"/>
        <v>#DIV/0!</v>
      </c>
      <c r="CR16" s="168"/>
      <c r="CS16" s="402" t="e">
        <f t="shared" si="45"/>
        <v>#DIV/0!</v>
      </c>
      <c r="CT16" s="165"/>
      <c r="CU16" s="402" t="e">
        <f t="shared" si="46"/>
        <v>#DIV/0!</v>
      </c>
      <c r="CV16" s="163">
        <f t="shared" si="47"/>
        <v>0</v>
      </c>
      <c r="CW16" s="402">
        <f t="shared" si="48"/>
        <v>-1</v>
      </c>
      <c r="CX16" s="408" t="e">
        <f t="shared" si="49"/>
        <v>#DIV/0!</v>
      </c>
      <c r="CY16" s="408"/>
      <c r="CZ16" s="490">
        <v>0.7055</v>
      </c>
      <c r="DA16" s="93">
        <v>0.7614</v>
      </c>
      <c r="DB16" s="93">
        <v>0.7332</v>
      </c>
      <c r="DC16" s="107">
        <v>3.3697</v>
      </c>
      <c r="DD16" s="163">
        <v>3.3036</v>
      </c>
      <c r="DE16" s="163">
        <v>0</v>
      </c>
      <c r="DF16" s="109">
        <v>0</v>
      </c>
      <c r="DG16" s="109">
        <v>0</v>
      </c>
      <c r="DH16" s="109">
        <v>0</v>
      </c>
      <c r="DI16" s="109">
        <v>0</v>
      </c>
      <c r="DJ16" s="109">
        <v>0</v>
      </c>
      <c r="DK16" s="109">
        <v>0</v>
      </c>
      <c r="DL16" s="109">
        <v>8.8734</v>
      </c>
      <c r="DM16" s="410">
        <v>-0.569976786674873</v>
      </c>
      <c r="DN16" s="411"/>
      <c r="DO16" s="412">
        <v>2.5287</v>
      </c>
      <c r="DP16" s="87"/>
      <c r="DQ16" s="424">
        <v>5.6719</v>
      </c>
      <c r="DR16" s="304"/>
      <c r="DS16" s="424">
        <v>2.7322</v>
      </c>
      <c r="DT16" s="104" t="e">
        <f t="shared" si="50"/>
        <v>#DIV/0!</v>
      </c>
      <c r="DU16" s="103"/>
      <c r="DV16" s="424">
        <v>2.7331</v>
      </c>
      <c r="DW16" s="104" t="e">
        <f t="shared" si="51"/>
        <v>#DIV/0!</v>
      </c>
      <c r="DX16" s="424">
        <v>2.7296</v>
      </c>
      <c r="DY16" s="104" t="e">
        <f t="shared" si="52"/>
        <v>#DIV/0!</v>
      </c>
      <c r="DZ16" s="424">
        <v>0.5744</v>
      </c>
      <c r="EA16" s="104" t="e">
        <f t="shared" si="53"/>
        <v>#DIV/0!</v>
      </c>
      <c r="EB16" s="424">
        <v>0.5941</v>
      </c>
      <c r="EC16" s="104" t="e">
        <f t="shared" si="54"/>
        <v>#DIV/0!</v>
      </c>
      <c r="ED16" s="424">
        <v>0.6231</v>
      </c>
      <c r="EE16" s="104" t="e">
        <f t="shared" si="55"/>
        <v>#DIV/0!</v>
      </c>
      <c r="EF16" s="424">
        <v>0.5341</v>
      </c>
      <c r="EG16" s="104" t="e">
        <f t="shared" si="56"/>
        <v>#DIV/0!</v>
      </c>
      <c r="EH16" s="424">
        <v>0.6231</v>
      </c>
      <c r="EI16" s="104" t="e">
        <f t="shared" si="57"/>
        <v>#DIV/0!</v>
      </c>
      <c r="EJ16" s="424">
        <v>0.6583</v>
      </c>
      <c r="EK16" s="104" t="e">
        <f t="shared" si="58"/>
        <v>#DIV/0!</v>
      </c>
      <c r="EL16" s="424">
        <v>0.6321</v>
      </c>
      <c r="EM16" s="104" t="e">
        <f t="shared" si="59"/>
        <v>#DIV/0!</v>
      </c>
      <c r="EN16" s="93">
        <f t="shared" si="64"/>
        <v>20.6347</v>
      </c>
      <c r="EO16" s="104" t="e">
        <f t="shared" si="60"/>
        <v>#DIV/0!</v>
      </c>
      <c r="EP16" s="104"/>
      <c r="FN16" s="95">
        <v>0</v>
      </c>
      <c r="FO16" s="96"/>
      <c r="FP16" s="431"/>
      <c r="JL16" s="399">
        <v>0</v>
      </c>
      <c r="JM16" s="398"/>
      <c r="JN16" s="400"/>
      <c r="JO16" s="311"/>
      <c r="JP16" s="144"/>
      <c r="JQ16" s="144"/>
      <c r="JR16" s="144"/>
      <c r="JS16" s="144"/>
      <c r="JT16" s="144"/>
      <c r="JU16" s="144"/>
      <c r="JV16" s="144"/>
      <c r="JW16" s="144"/>
      <c r="JX16" s="144"/>
      <c r="JY16" s="144"/>
      <c r="JZ16" s="144"/>
      <c r="KA16" s="144"/>
    </row>
    <row r="17" ht="28.8" customHeight="1" spans="1:287">
      <c r="A17" s="28"/>
      <c r="B17" s="446" t="s">
        <v>212</v>
      </c>
      <c r="C17" s="168"/>
      <c r="D17" s="402"/>
      <c r="E17" s="163"/>
      <c r="F17" s="359"/>
      <c r="G17" s="163"/>
      <c r="H17" s="359"/>
      <c r="I17" s="163"/>
      <c r="J17" s="359"/>
      <c r="K17" s="163"/>
      <c r="L17" s="359"/>
      <c r="M17" s="163"/>
      <c r="N17" s="402"/>
      <c r="O17" s="163"/>
      <c r="P17" s="402"/>
      <c r="Q17" s="127"/>
      <c r="R17" s="127"/>
      <c r="S17" s="109">
        <f t="shared" si="7"/>
        <v>0</v>
      </c>
      <c r="T17" s="359" t="e">
        <f t="shared" si="8"/>
        <v>#DIV/0!</v>
      </c>
      <c r="U17" s="359"/>
      <c r="V17" s="168"/>
      <c r="W17" s="402"/>
      <c r="X17" s="167"/>
      <c r="Y17" s="402"/>
      <c r="Z17" s="167"/>
      <c r="AA17" s="402"/>
      <c r="AB17" s="167"/>
      <c r="AC17" s="402"/>
      <c r="AD17" s="167"/>
      <c r="AE17" s="402"/>
      <c r="AF17" s="167"/>
      <c r="AG17" s="402"/>
      <c r="AH17" s="167"/>
      <c r="AI17" s="402"/>
      <c r="AJ17" s="167"/>
      <c r="AK17" s="402"/>
      <c r="AL17" s="167"/>
      <c r="AM17" s="402"/>
      <c r="AN17" s="167"/>
      <c r="AO17" s="402"/>
      <c r="AP17" s="167"/>
      <c r="AQ17" s="402"/>
      <c r="AR17" s="167"/>
      <c r="AS17" s="402"/>
      <c r="AT17" s="93">
        <f t="shared" si="21"/>
        <v>0</v>
      </c>
      <c r="AU17" s="402" t="e">
        <f t="shared" si="22"/>
        <v>#DIV/0!</v>
      </c>
      <c r="AV17" s="360"/>
      <c r="AW17" s="167"/>
      <c r="AX17" s="402"/>
      <c r="AY17" s="402"/>
      <c r="AZ17" s="402"/>
      <c r="BA17" s="402"/>
      <c r="BB17" s="402"/>
      <c r="BC17" s="402"/>
      <c r="BD17" s="402"/>
      <c r="BE17" s="402"/>
      <c r="BF17" s="402"/>
      <c r="BG17" s="402"/>
      <c r="BH17" s="402"/>
      <c r="BI17" s="402"/>
      <c r="BJ17" s="402"/>
      <c r="BK17" s="402"/>
      <c r="BL17" s="402"/>
      <c r="BM17" s="402"/>
      <c r="BN17" s="402"/>
      <c r="BO17" s="402"/>
      <c r="BP17" s="402"/>
      <c r="BQ17" s="402"/>
      <c r="BR17" s="402"/>
      <c r="BS17" s="402"/>
      <c r="BT17" s="402"/>
      <c r="BU17" s="163">
        <f t="shared" si="34"/>
        <v>0</v>
      </c>
      <c r="BV17" s="402" t="e">
        <f t="shared" si="35"/>
        <v>#DIV/0!</v>
      </c>
      <c r="BW17" s="429"/>
      <c r="BX17" s="93">
        <v>0</v>
      </c>
      <c r="BY17" s="402">
        <f t="shared" si="36"/>
        <v>-1</v>
      </c>
      <c r="BZ17" s="93">
        <v>0</v>
      </c>
      <c r="CA17" s="402">
        <f t="shared" si="37"/>
        <v>-1</v>
      </c>
      <c r="CB17" s="163">
        <v>0</v>
      </c>
      <c r="CC17" s="402">
        <f t="shared" si="38"/>
        <v>-1</v>
      </c>
      <c r="CD17" s="163">
        <v>0</v>
      </c>
      <c r="CE17" s="402">
        <v>-1</v>
      </c>
      <c r="CF17" s="163">
        <v>0</v>
      </c>
      <c r="CG17" s="402">
        <f t="shared" si="39"/>
        <v>-1</v>
      </c>
      <c r="CH17" s="163">
        <v>0</v>
      </c>
      <c r="CI17" s="402" t="e">
        <f t="shared" si="40"/>
        <v>#DIV/0!</v>
      </c>
      <c r="CJ17" s="163">
        <v>0</v>
      </c>
      <c r="CK17" s="402" t="e">
        <f t="shared" si="41"/>
        <v>#DIV/0!</v>
      </c>
      <c r="CL17" s="163">
        <v>0</v>
      </c>
      <c r="CM17" s="402" t="e">
        <f t="shared" si="42"/>
        <v>#DIV/0!</v>
      </c>
      <c r="CN17" s="163">
        <v>0</v>
      </c>
      <c r="CO17" s="402" t="e">
        <f t="shared" si="43"/>
        <v>#DIV/0!</v>
      </c>
      <c r="CP17" s="163">
        <v>0</v>
      </c>
      <c r="CQ17" s="402" t="e">
        <f t="shared" si="44"/>
        <v>#DIV/0!</v>
      </c>
      <c r="CR17" s="168"/>
      <c r="CS17" s="402" t="e">
        <f t="shared" si="45"/>
        <v>#DIV/0!</v>
      </c>
      <c r="CT17" s="165"/>
      <c r="CU17" s="402" t="e">
        <f t="shared" si="46"/>
        <v>#DIV/0!</v>
      </c>
      <c r="CV17" s="163">
        <f t="shared" si="47"/>
        <v>0</v>
      </c>
      <c r="CW17" s="402">
        <f t="shared" si="48"/>
        <v>-1</v>
      </c>
      <c r="CX17" s="408" t="e">
        <f t="shared" si="49"/>
        <v>#DIV/0!</v>
      </c>
      <c r="CY17" s="408"/>
      <c r="CZ17" s="477">
        <v>49.0306</v>
      </c>
      <c r="DA17" s="473">
        <v>50.5894</v>
      </c>
      <c r="DB17" s="473">
        <v>47.2015</v>
      </c>
      <c r="DC17" s="473">
        <v>105.1155</v>
      </c>
      <c r="DD17" s="448">
        <v>106.6182</v>
      </c>
      <c r="DE17" s="448">
        <v>0</v>
      </c>
      <c r="DF17" s="448">
        <v>0</v>
      </c>
      <c r="DG17" s="448">
        <v>0</v>
      </c>
      <c r="DH17" s="448">
        <v>0</v>
      </c>
      <c r="DI17" s="448">
        <v>0</v>
      </c>
      <c r="DJ17" s="448">
        <v>0</v>
      </c>
      <c r="DK17" s="448">
        <v>0</v>
      </c>
      <c r="DL17" s="448">
        <v>358.5552</v>
      </c>
      <c r="DM17" s="449">
        <v>-0.634664762528917</v>
      </c>
      <c r="DN17" s="411"/>
      <c r="DO17" s="412">
        <v>250.7314</v>
      </c>
      <c r="DP17" s="87"/>
      <c r="DQ17" s="424">
        <v>198.547</v>
      </c>
      <c r="DR17" s="304"/>
      <c r="DS17" s="424">
        <v>89.9426</v>
      </c>
      <c r="DT17" s="104" t="e">
        <f t="shared" si="50"/>
        <v>#DIV/0!</v>
      </c>
      <c r="DU17" s="103"/>
      <c r="DV17" s="424">
        <v>86.0926</v>
      </c>
      <c r="DW17" s="104" t="e">
        <f t="shared" si="51"/>
        <v>#DIV/0!</v>
      </c>
      <c r="DX17" s="424">
        <v>86.0753</v>
      </c>
      <c r="DY17" s="104" t="e">
        <f t="shared" si="52"/>
        <v>#DIV/0!</v>
      </c>
      <c r="DZ17" s="424">
        <v>34.4831</v>
      </c>
      <c r="EA17" s="104" t="e">
        <f t="shared" si="53"/>
        <v>#DIV/0!</v>
      </c>
      <c r="EB17" s="424">
        <v>36.0915</v>
      </c>
      <c r="EC17" s="104" t="e">
        <f t="shared" si="54"/>
        <v>#DIV/0!</v>
      </c>
      <c r="ED17" s="424">
        <v>40.4664</v>
      </c>
      <c r="EE17" s="104" t="e">
        <f t="shared" si="55"/>
        <v>#DIV/0!</v>
      </c>
      <c r="EF17" s="424">
        <v>34.6839</v>
      </c>
      <c r="EG17" s="104" t="e">
        <f t="shared" si="56"/>
        <v>#DIV/0!</v>
      </c>
      <c r="EH17" s="424">
        <v>40.4664</v>
      </c>
      <c r="EI17" s="104" t="e">
        <f t="shared" si="57"/>
        <v>#DIV/0!</v>
      </c>
      <c r="EJ17" s="424">
        <v>42.7766</v>
      </c>
      <c r="EK17" s="104" t="e">
        <f t="shared" si="58"/>
        <v>#DIV/0!</v>
      </c>
      <c r="EL17" s="424">
        <v>41.0848</v>
      </c>
      <c r="EM17" s="104" t="e">
        <f t="shared" si="59"/>
        <v>#DIV/0!</v>
      </c>
      <c r="EN17" s="93">
        <f t="shared" si="64"/>
        <v>981.4416</v>
      </c>
      <c r="EO17" s="104" t="e">
        <f t="shared" si="60"/>
        <v>#DIV/0!</v>
      </c>
      <c r="EP17" s="104"/>
      <c r="FN17" s="95">
        <v>0</v>
      </c>
      <c r="FO17" s="96"/>
      <c r="FP17" s="431"/>
      <c r="JL17" s="399">
        <v>0</v>
      </c>
      <c r="JM17" s="398"/>
      <c r="JN17" s="400"/>
      <c r="JO17" s="311"/>
      <c r="JP17" s="144"/>
      <c r="JQ17" s="144"/>
      <c r="JR17" s="144"/>
      <c r="JS17" s="144"/>
      <c r="JT17" s="144"/>
      <c r="JU17" s="144"/>
      <c r="JV17" s="144"/>
      <c r="JW17" s="144"/>
      <c r="JX17" s="144"/>
      <c r="JY17" s="144"/>
      <c r="JZ17" s="144"/>
      <c r="KA17" s="144"/>
    </row>
    <row r="18" s="286" customFormat="1" ht="28.8" hidden="1" customHeight="1" spans="1:287">
      <c r="A18" s="298" t="s">
        <v>96</v>
      </c>
      <c r="B18" s="164" t="s">
        <v>206</v>
      </c>
      <c r="C18" s="109">
        <v>178.5701</v>
      </c>
      <c r="D18" s="359">
        <f>C18/V18-1</f>
        <v>-0.280402929000628</v>
      </c>
      <c r="E18" s="109">
        <v>215.5515</v>
      </c>
      <c r="F18" s="359">
        <f>E18/X18-1</f>
        <v>-0.144885295223768</v>
      </c>
      <c r="G18" s="109">
        <v>211.3526</v>
      </c>
      <c r="H18" s="359">
        <f>G18/Z18-1</f>
        <v>-0.107595583423058</v>
      </c>
      <c r="I18" s="109">
        <v>243.5999</v>
      </c>
      <c r="J18" s="359">
        <f>I18/AB18-1</f>
        <v>-0.0672002824439057</v>
      </c>
      <c r="K18" s="109">
        <v>277.3764</v>
      </c>
      <c r="L18" s="359">
        <f>K18/AD18-1</f>
        <v>0.0502417200288368</v>
      </c>
      <c r="M18" s="109">
        <v>250.6952</v>
      </c>
      <c r="N18" s="359">
        <f>M18/AF18-1</f>
        <v>0.0911252863877883</v>
      </c>
      <c r="O18" s="109">
        <v>253.9301</v>
      </c>
      <c r="P18" s="359">
        <f>O18/AH18-1</f>
        <v>0.0155558799474484</v>
      </c>
      <c r="Q18" s="127"/>
      <c r="R18" s="127"/>
      <c r="S18" s="109">
        <f t="shared" si="7"/>
        <v>1631.0758</v>
      </c>
      <c r="T18" s="359">
        <f t="shared" si="8"/>
        <v>-0.189711835474734</v>
      </c>
      <c r="U18" s="359"/>
      <c r="V18" s="109">
        <v>248.1529</v>
      </c>
      <c r="W18" s="359">
        <f>V18/AW18-1</f>
        <v>0.222662372247687</v>
      </c>
      <c r="X18" s="109">
        <v>252.0732</v>
      </c>
      <c r="Y18" s="359">
        <f>X18/AY18-1</f>
        <v>0.191134859685367</v>
      </c>
      <c r="Z18" s="109">
        <v>236.835</v>
      </c>
      <c r="AA18" s="359">
        <f>Z18/BA18-1</f>
        <v>0.0597483559100653</v>
      </c>
      <c r="AB18" s="109">
        <v>261.1492</v>
      </c>
      <c r="AC18" s="359">
        <f>AB18/BC18-1</f>
        <v>-0.0425839716737435</v>
      </c>
      <c r="AD18" s="109">
        <v>264.1072</v>
      </c>
      <c r="AE18" s="359">
        <f>AD18/BE18-1</f>
        <v>-0.0766208952092929</v>
      </c>
      <c r="AF18" s="109">
        <v>229.7584</v>
      </c>
      <c r="AG18" s="359">
        <f>AF18/BG18-1</f>
        <v>-0.158123381805577</v>
      </c>
      <c r="AH18" s="109">
        <v>250.0405</v>
      </c>
      <c r="AI18" s="359">
        <f>AH18/BI18-1</f>
        <v>-0.127215031251113</v>
      </c>
      <c r="AJ18" s="109">
        <v>270.8413</v>
      </c>
      <c r="AK18" s="359">
        <f>AJ18/BK18-1</f>
        <v>-0.121594264379268</v>
      </c>
      <c r="AL18" s="109">
        <v>233.6322</v>
      </c>
      <c r="AM18" s="359">
        <f>AL18/BM18-1</f>
        <v>-0.167069408208797</v>
      </c>
      <c r="AN18" s="109">
        <v>265.9381</v>
      </c>
      <c r="AO18" s="359">
        <f>AN18/BO18-1</f>
        <v>-0.136215450726024</v>
      </c>
      <c r="AP18" s="109">
        <v>236.3336</v>
      </c>
      <c r="AQ18" s="359">
        <f>AP18/BQ18-1</f>
        <v>-0.137549821951072</v>
      </c>
      <c r="AR18" s="109">
        <v>200.5632</v>
      </c>
      <c r="AS18" s="359">
        <f>AR18/BS18-1</f>
        <v>-0.142563257181602</v>
      </c>
      <c r="AT18" s="107">
        <f t="shared" si="21"/>
        <v>2949.4248</v>
      </c>
      <c r="AU18" s="359">
        <f t="shared" si="22"/>
        <v>-0.0669009381340973</v>
      </c>
      <c r="AV18" s="360"/>
      <c r="AW18" s="450">
        <v>202.9611</v>
      </c>
      <c r="AX18" s="361">
        <v>0.106148475756808</v>
      </c>
      <c r="AY18" s="108">
        <v>211.6244</v>
      </c>
      <c r="AZ18" s="361">
        <f t="shared" ref="AZ18:AZ57" si="65">AY18/BZ18-1</f>
        <v>0.0678678963560939</v>
      </c>
      <c r="BA18" s="108">
        <v>223.4823</v>
      </c>
      <c r="BB18" s="361">
        <f t="shared" ref="BB18:BB57" si="66">BA18/CB18-1</f>
        <v>-0.0577471754419768</v>
      </c>
      <c r="BC18" s="108">
        <v>272.7646</v>
      </c>
      <c r="BD18" s="361">
        <f t="shared" ref="BD18:BD57" si="67">BC18/CD18-1</f>
        <v>0.0553018195099095</v>
      </c>
      <c r="BE18" s="362">
        <v>286.0225</v>
      </c>
      <c r="BF18" s="361">
        <f t="shared" ref="BF18:BF57" si="68">BE18/CF18-1</f>
        <v>0.0822657835668976</v>
      </c>
      <c r="BG18" s="108">
        <v>272.9122</v>
      </c>
      <c r="BH18" s="361">
        <f t="shared" ref="BH18:BH57" si="69">BG18/CH18-1</f>
        <v>0.08732516023285</v>
      </c>
      <c r="BI18" s="108">
        <v>286.4858</v>
      </c>
      <c r="BJ18" s="361">
        <f t="shared" ref="BJ18:BJ57" si="70">BI18/CJ18-1</f>
        <v>0.0341476973280486</v>
      </c>
      <c r="BK18" s="108">
        <v>308.3328</v>
      </c>
      <c r="BL18" s="361">
        <f t="shared" ref="BL18:BL57" si="71">BK18/CL18-1</f>
        <v>0.0961642244085503</v>
      </c>
      <c r="BM18" s="108">
        <v>280.4942</v>
      </c>
      <c r="BN18" s="361">
        <f t="shared" ref="BN18:BN57" si="72">BM18/CN18-1</f>
        <v>0.130419222924489</v>
      </c>
      <c r="BO18" s="108">
        <v>307.8755</v>
      </c>
      <c r="BP18" s="361">
        <f t="shared" ref="BP18:BP57" si="73">BO18/CP18-1</f>
        <v>0.1776391409703</v>
      </c>
      <c r="BQ18" s="108">
        <v>274.0258</v>
      </c>
      <c r="BR18" s="361">
        <f t="shared" ref="BR18:BR57" si="74">BQ18/CR18-1</f>
        <v>0.18959385706422</v>
      </c>
      <c r="BS18" s="108">
        <v>233.9102</v>
      </c>
      <c r="BT18" s="361">
        <f t="shared" ref="BT18:BT57" si="75">BS18/CT18-1</f>
        <v>0.165472429233896</v>
      </c>
      <c r="BU18" s="108">
        <f t="shared" si="34"/>
        <v>3160.8914</v>
      </c>
      <c r="BV18" s="361">
        <f t="shared" si="35"/>
        <v>0.093161746116998</v>
      </c>
      <c r="BW18" s="364"/>
      <c r="BX18" s="450">
        <v>183.4845</v>
      </c>
      <c r="BY18" s="361">
        <f t="shared" si="36"/>
        <v>-0.0911263654069819</v>
      </c>
      <c r="BZ18" s="450">
        <v>198.1747</v>
      </c>
      <c r="CA18" s="361">
        <f t="shared" si="37"/>
        <v>-0.0772310043401755</v>
      </c>
      <c r="CB18" s="108">
        <v>237.1787</v>
      </c>
      <c r="CC18" s="361">
        <f t="shared" si="38"/>
        <v>0.173099094723399</v>
      </c>
      <c r="CD18" s="108">
        <v>258.4707</v>
      </c>
      <c r="CE18" s="361">
        <v>0.352412092405594</v>
      </c>
      <c r="CF18" s="108">
        <v>264.2812</v>
      </c>
      <c r="CG18" s="361">
        <f t="shared" si="39"/>
        <v>0.349889340019073</v>
      </c>
      <c r="CH18" s="108">
        <v>250.9941</v>
      </c>
      <c r="CI18" s="361">
        <f t="shared" si="40"/>
        <v>0.158955124295087</v>
      </c>
      <c r="CJ18" s="108">
        <v>277.026</v>
      </c>
      <c r="CK18" s="361">
        <f t="shared" si="41"/>
        <v>0.0892859319539365</v>
      </c>
      <c r="CL18" s="108">
        <v>281.2834</v>
      </c>
      <c r="CM18" s="361">
        <f t="shared" si="42"/>
        <v>0.0835537421213328</v>
      </c>
      <c r="CN18" s="108">
        <f>244.9769+CN20</f>
        <v>248.1329</v>
      </c>
      <c r="CO18" s="361">
        <f t="shared" si="43"/>
        <v>0.03191140295975</v>
      </c>
      <c r="CP18" s="108">
        <f>257.9596+CP20</f>
        <v>261.4345</v>
      </c>
      <c r="CQ18" s="361">
        <f t="shared" si="44"/>
        <v>0.294257108316114</v>
      </c>
      <c r="CR18" s="108">
        <v>230.3524</v>
      </c>
      <c r="CS18" s="361">
        <f t="shared" si="45"/>
        <v>0.399263776849062</v>
      </c>
      <c r="CT18" s="108">
        <v>200.6999</v>
      </c>
      <c r="CU18" s="361">
        <f t="shared" si="46"/>
        <v>0.403339768515249</v>
      </c>
      <c r="CV18" s="108">
        <f t="shared" si="47"/>
        <v>2891.513</v>
      </c>
      <c r="CW18" s="361">
        <f t="shared" si="48"/>
        <v>0.162979069608057</v>
      </c>
      <c r="CX18" s="365">
        <f t="shared" si="49"/>
        <v>-0.128726681380354</v>
      </c>
      <c r="CY18" s="365"/>
      <c r="CZ18" s="453">
        <v>201.8812</v>
      </c>
      <c r="DA18" s="450">
        <v>214.7609</v>
      </c>
      <c r="DB18" s="450">
        <v>202.1813</v>
      </c>
      <c r="DC18" s="450">
        <v>191.1183</v>
      </c>
      <c r="DD18" s="108">
        <v>195.7799</v>
      </c>
      <c r="DE18" s="108">
        <v>216.5693</v>
      </c>
      <c r="DF18" s="108">
        <v>254.3189</v>
      </c>
      <c r="DG18" s="108">
        <v>259.5934</v>
      </c>
      <c r="DH18" s="108">
        <v>240.4595</v>
      </c>
      <c r="DI18" s="108">
        <v>201.9958</v>
      </c>
      <c r="DJ18" s="108">
        <v>164.624</v>
      </c>
      <c r="DK18" s="108">
        <v>143.0159</v>
      </c>
      <c r="DL18" s="108">
        <v>2486.2984</v>
      </c>
      <c r="DM18" s="368">
        <v>-0.0693561615900887</v>
      </c>
      <c r="DN18" s="369"/>
      <c r="DO18" s="370">
        <v>211.98</v>
      </c>
      <c r="DP18" s="371">
        <f>(DO18-DX18)/DX18</f>
        <v>-0.233666057277298</v>
      </c>
      <c r="DQ18" s="374">
        <v>211.75</v>
      </c>
      <c r="DR18" s="373"/>
      <c r="DS18" s="374">
        <v>219.8359</v>
      </c>
      <c r="DT18" s="373">
        <f t="shared" si="50"/>
        <v>5.07281491712707</v>
      </c>
      <c r="DU18" s="374"/>
      <c r="DV18" s="374">
        <v>259.14</v>
      </c>
      <c r="DW18" s="373">
        <f t="shared" si="51"/>
        <v>0.919555555555555</v>
      </c>
      <c r="DX18" s="374">
        <v>276.6157</v>
      </c>
      <c r="DY18" s="373">
        <f t="shared" si="52"/>
        <v>0.49522</v>
      </c>
      <c r="DZ18" s="374">
        <v>249.8223</v>
      </c>
      <c r="EA18" s="373">
        <f t="shared" si="53"/>
        <v>0.784445</v>
      </c>
      <c r="EB18" s="374">
        <v>248.9417</v>
      </c>
      <c r="EC18" s="373">
        <f t="shared" si="54"/>
        <v>-0.1109225</v>
      </c>
      <c r="ED18" s="374">
        <v>159.1078</v>
      </c>
      <c r="EE18" s="373">
        <f t="shared" si="55"/>
        <v>-0.39959320754717</v>
      </c>
      <c r="EF18" s="374">
        <v>196.6046</v>
      </c>
      <c r="EG18" s="373">
        <f t="shared" si="56"/>
        <v>-0.494056460536813</v>
      </c>
      <c r="EH18" s="374">
        <v>236.2855</v>
      </c>
      <c r="EI18" s="373">
        <f t="shared" si="57"/>
        <v>-0.364823924731183</v>
      </c>
      <c r="EJ18" s="374">
        <v>204.8715</v>
      </c>
      <c r="EK18" s="373">
        <f t="shared" si="58"/>
        <v>-0.404443313953488</v>
      </c>
      <c r="EL18" s="374">
        <v>196.6346</v>
      </c>
      <c r="EM18" s="373">
        <f t="shared" si="59"/>
        <v>-0.2134616</v>
      </c>
      <c r="EN18" s="372">
        <f t="shared" si="64"/>
        <v>2671.5896</v>
      </c>
      <c r="EO18" s="373">
        <f t="shared" si="60"/>
        <v>-0.151550405076236</v>
      </c>
      <c r="EP18" s="375">
        <v>753</v>
      </c>
      <c r="EQ18" s="373">
        <f>(EP18-FP18)/FP18</f>
        <v>-0.0528301886792453</v>
      </c>
      <c r="ER18" s="374">
        <v>0</v>
      </c>
      <c r="ES18" s="373">
        <f>(ER18-FQ18)/FQ18</f>
        <v>-1</v>
      </c>
      <c r="ET18" s="374">
        <v>36.2</v>
      </c>
      <c r="EU18" s="373">
        <f>(ET18-FR18)/FR18</f>
        <v>-0.956956004756243</v>
      </c>
      <c r="EV18" s="374">
        <v>135</v>
      </c>
      <c r="EW18" s="373">
        <f>(EV18-FS18)/FS18</f>
        <v>-0.8125</v>
      </c>
      <c r="EX18" s="374">
        <v>185</v>
      </c>
      <c r="EY18" s="373">
        <f>(EX18-FT18)/FT18</f>
        <v>-0.758169934640523</v>
      </c>
      <c r="EZ18" s="374">
        <v>140</v>
      </c>
      <c r="FA18" s="373">
        <f>(EZ18-FU18)/FU18</f>
        <v>-0.80309423347398</v>
      </c>
      <c r="FB18" s="374">
        <v>280</v>
      </c>
      <c r="FC18" s="373">
        <f>(FB18-FV18)/FV18</f>
        <v>-0.627163781624501</v>
      </c>
      <c r="FD18" s="374">
        <v>265</v>
      </c>
      <c r="FE18" s="373">
        <f>(FD18-FW18)/FW18</f>
        <v>-0.652230971128609</v>
      </c>
      <c r="FF18" s="374">
        <v>388.59</v>
      </c>
      <c r="FG18" s="373">
        <f>(FF18-FX18)/FX18</f>
        <v>-0.466222527472528</v>
      </c>
      <c r="FH18" s="374">
        <v>372</v>
      </c>
      <c r="FI18" s="373">
        <f>(FH18-FY18)/FY18</f>
        <v>-0.588039867109635</v>
      </c>
      <c r="FJ18" s="374">
        <v>344</v>
      </c>
      <c r="FK18" s="373">
        <f>(FJ18-GA18)/GA18</f>
        <v>-0.512747875354108</v>
      </c>
      <c r="FL18" s="374">
        <v>250</v>
      </c>
      <c r="FM18" s="456">
        <f>(FL18-GC18)/GC18</f>
        <v>-0.643874643874644</v>
      </c>
      <c r="FN18" s="359">
        <v>3148.79</v>
      </c>
      <c r="FO18" s="358">
        <f>(FN18-(FP18+FQ18+FR18+FS18+FT18+FU18+FV18+FW18+FX18+FY18+GA18+GC18))/(FP18+FQ18+FR18+FS18+FT18+FU18+FV18+FW18+FX18+FY18+GA18+GC18)</f>
        <v>-0.667940227363803</v>
      </c>
      <c r="FP18" s="360">
        <v>795</v>
      </c>
      <c r="FQ18" s="360">
        <v>1098.6</v>
      </c>
      <c r="FR18" s="360">
        <v>841</v>
      </c>
      <c r="FS18" s="360">
        <v>720</v>
      </c>
      <c r="FT18" s="360">
        <v>765</v>
      </c>
      <c r="FU18" s="360">
        <v>711</v>
      </c>
      <c r="FV18" s="459">
        <v>751</v>
      </c>
      <c r="FW18" s="459">
        <v>762</v>
      </c>
      <c r="FX18" s="459">
        <v>728</v>
      </c>
      <c r="FY18" s="459">
        <v>903</v>
      </c>
      <c r="FZ18" s="368">
        <f>(FY18-HA18)/HA18</f>
        <v>-0.0661840744570838</v>
      </c>
      <c r="GA18" s="459">
        <v>706</v>
      </c>
      <c r="GB18" s="368">
        <f>(GA18-HC18)/HC18</f>
        <v>-0.0491582491582492</v>
      </c>
      <c r="GC18" s="459">
        <v>702</v>
      </c>
      <c r="GD18" s="368">
        <f>(GC18-HE18)/HE18</f>
        <v>-0.046195652173913</v>
      </c>
      <c r="GE18" s="455">
        <f>FP18+FQ18+FR18+FS18+FT18+FU18+FV18+FW18+FX18+FY18+GA18+GC18</f>
        <v>9482.6</v>
      </c>
      <c r="GF18" s="460">
        <f>(GE18-HG18)/HG18</f>
        <v>-0.10249396621078</v>
      </c>
      <c r="GG18" s="317"/>
      <c r="GH18" s="378"/>
      <c r="GI18" s="379">
        <v>854</v>
      </c>
      <c r="GJ18" s="376">
        <f>(GI18-HL18)/HL18</f>
        <v>-0.0573951434878587</v>
      </c>
      <c r="GK18" s="375">
        <v>1185</v>
      </c>
      <c r="GL18" s="376">
        <f>(GK18-HN18)/HN18</f>
        <v>-0.0481927710843374</v>
      </c>
      <c r="GM18" s="375">
        <v>954</v>
      </c>
      <c r="GN18" s="376">
        <f>(GM18-HP18)/HP18</f>
        <v>-0.0488534396809571</v>
      </c>
      <c r="GO18" s="375">
        <v>804</v>
      </c>
      <c r="GP18" s="376">
        <f>(GO18-HR18)/HR18</f>
        <v>-0.046828689982217</v>
      </c>
      <c r="GQ18" s="375">
        <v>897</v>
      </c>
      <c r="GR18" s="376">
        <f>(GQ18-HT18)/HT18</f>
        <v>-0.0452368281000532</v>
      </c>
      <c r="GS18" s="375">
        <v>880</v>
      </c>
      <c r="GT18" s="376">
        <f>(GS18-HW18)/HW18</f>
        <v>0</v>
      </c>
      <c r="GU18" s="375">
        <v>862</v>
      </c>
      <c r="GV18" s="376">
        <f>(GU18-HY18)/HY18</f>
        <v>-0.0325476992143659</v>
      </c>
      <c r="GW18" s="375">
        <v>858</v>
      </c>
      <c r="GX18" s="376">
        <f>(GW18-IA18)/IA18</f>
        <v>-0.0305084745762712</v>
      </c>
      <c r="GY18" s="375">
        <v>826</v>
      </c>
      <c r="GZ18" s="376">
        <f>(GY18-IC18)/IC18</f>
        <v>-0.0154946364719905</v>
      </c>
      <c r="HA18" s="375">
        <v>967</v>
      </c>
      <c r="HB18" s="376">
        <f>(HA18-IE18)/IE18</f>
        <v>-0.0463510848126233</v>
      </c>
      <c r="HC18" s="375">
        <v>742.5</v>
      </c>
      <c r="HD18" s="376">
        <f>(HC18-IG18)/IG18</f>
        <v>-0.0456298200514139</v>
      </c>
      <c r="HE18" s="375">
        <v>736</v>
      </c>
      <c r="HF18" s="376">
        <f>(HE18-II18)/II18</f>
        <v>-0.0958230958230958</v>
      </c>
      <c r="HG18" s="375">
        <f>GI18+GK18+GM18+GO18+GQ18+GS18+GU18+GW18+GY18+HA18+HC18+HE18</f>
        <v>10565.5</v>
      </c>
      <c r="HH18" s="375">
        <f>HE18+HC18+HA18+GY18+GW18+GU18+GS18+GQ18+GO18+GM18+GK18+GI18</f>
        <v>10565.5</v>
      </c>
      <c r="HI18" s="377"/>
      <c r="HJ18" s="369"/>
      <c r="HK18" s="485"/>
      <c r="HL18" s="379">
        <v>906</v>
      </c>
      <c r="HM18" s="380">
        <f>(HL18-IN18)/IN18</f>
        <v>0.0214205186020293</v>
      </c>
      <c r="HN18" s="462">
        <v>1245</v>
      </c>
      <c r="HO18" s="380">
        <f>(HN18-IP18)/IP18</f>
        <v>0.0196560196560197</v>
      </c>
      <c r="HP18" s="462">
        <v>1003</v>
      </c>
      <c r="HQ18" s="466">
        <f>(HP18-IR18)/IR18</f>
        <v>0.0136432541687721</v>
      </c>
      <c r="HR18" s="464">
        <v>843.5</v>
      </c>
      <c r="HS18" s="465">
        <f>(HR18-IT18)/IT18</f>
        <v>0.0101796407185629</v>
      </c>
      <c r="HT18" s="464">
        <v>939.5</v>
      </c>
      <c r="HU18" s="465">
        <f>(HT18-IV18)/IV18</f>
        <v>0.011302475780409</v>
      </c>
      <c r="HV18" s="466"/>
      <c r="HW18" s="464">
        <v>880</v>
      </c>
      <c r="HX18" s="465">
        <f>(HW18-IX18)/IX18</f>
        <v>0.0109132682366456</v>
      </c>
      <c r="HY18" s="464">
        <v>891</v>
      </c>
      <c r="HZ18" s="465">
        <f>(HY18-IZ18)/IZ18</f>
        <v>0.0113507377979569</v>
      </c>
      <c r="IA18" s="464">
        <v>885</v>
      </c>
      <c r="IB18" s="390">
        <f>(IA18-JB18)/JB18</f>
        <v>0.0102739726027397</v>
      </c>
      <c r="IC18" s="464">
        <v>839</v>
      </c>
      <c r="ID18" s="390">
        <f>(IC18-JD18)/JD18</f>
        <v>0.00962695547533093</v>
      </c>
      <c r="IE18" s="464">
        <v>1014</v>
      </c>
      <c r="IF18" s="390">
        <f>(IE18-JF18)/JF18</f>
        <v>0.0109670987038883</v>
      </c>
      <c r="IG18" s="464">
        <v>778</v>
      </c>
      <c r="IH18" s="390">
        <f>(IG18-JH18)/JH18</f>
        <v>0.0103896103896104</v>
      </c>
      <c r="II18" s="464">
        <v>814</v>
      </c>
      <c r="IJ18" s="309">
        <f>(II18-JJ18)/JJ18</f>
        <v>0.00992555831265509</v>
      </c>
      <c r="IK18" s="391">
        <f>HL18+HN18+HP18+HR18+HT18+HW18+HY18+IA18+IC18+IE18+IG18+II18</f>
        <v>11038</v>
      </c>
      <c r="IL18" s="104">
        <f>IK18/JL18-1</f>
        <v>0.0127534636205155</v>
      </c>
      <c r="IM18" s="392"/>
      <c r="IN18" s="525">
        <v>887</v>
      </c>
      <c r="IO18" s="410">
        <f>IN18/JP18-1</f>
        <v>0.0386880912222558</v>
      </c>
      <c r="IP18" s="508">
        <v>1221</v>
      </c>
      <c r="IQ18" s="410">
        <f>IP18/JQ18-1</f>
        <v>0.036309283683996</v>
      </c>
      <c r="IR18" s="508">
        <v>989.5</v>
      </c>
      <c r="IS18" s="394">
        <f>(IR18-JR18)/JR18</f>
        <v>0.0345873151962527</v>
      </c>
      <c r="IT18" s="526">
        <v>835</v>
      </c>
      <c r="IU18" s="410">
        <f>(IT18-JS18)/JS18</f>
        <v>0.0207523053125575</v>
      </c>
      <c r="IV18" s="526">
        <v>929</v>
      </c>
      <c r="IW18" s="410">
        <f>(IV18-JT18)/JT18</f>
        <v>0.022002200220022</v>
      </c>
      <c r="IX18" s="526">
        <v>870.5</v>
      </c>
      <c r="IY18" s="410">
        <f>(IX18-JU18)/JU18</f>
        <v>0.0209634187685035</v>
      </c>
      <c r="IZ18" s="526">
        <v>881</v>
      </c>
      <c r="JA18" s="410">
        <f>(IZ18-JV18)/JV18</f>
        <v>0.0151640855457227</v>
      </c>
      <c r="JB18" s="508">
        <v>876</v>
      </c>
      <c r="JC18" s="410">
        <f>(JB18-JW18)/JW18</f>
        <v>0.020979020979021</v>
      </c>
      <c r="JD18" s="508">
        <v>831</v>
      </c>
      <c r="JE18" s="500">
        <f>(JD18-JX18)/JX18</f>
        <v>0.0209745744544341</v>
      </c>
      <c r="JF18" s="508">
        <v>1003</v>
      </c>
      <c r="JG18" s="501">
        <f>(JF18-JY18)/JY18</f>
        <v>0.00804020100502513</v>
      </c>
      <c r="JH18" s="455">
        <v>770</v>
      </c>
      <c r="JI18" s="527">
        <f>(JH18-JZ18)/JZ18</f>
        <v>-0.0368980612883052</v>
      </c>
      <c r="JJ18" s="472">
        <v>806</v>
      </c>
      <c r="JK18" s="527">
        <f>(JJ18-KA18)/KA18</f>
        <v>-0.0927816485260515</v>
      </c>
      <c r="JL18" s="399">
        <f t="shared" si="62"/>
        <v>10899</v>
      </c>
      <c r="JM18" s="398">
        <f>JL18/JO18-1</f>
        <v>0.0100130302135384</v>
      </c>
      <c r="JN18" s="400"/>
      <c r="JO18" s="528">
        <v>10790.9498926917</v>
      </c>
      <c r="JP18" s="388">
        <v>853.961846194116</v>
      </c>
      <c r="JQ18" s="388">
        <v>1178.21968713765</v>
      </c>
      <c r="JR18" s="388">
        <v>956.42</v>
      </c>
      <c r="JS18" s="388">
        <v>818.024113836628</v>
      </c>
      <c r="JT18" s="388">
        <v>909</v>
      </c>
      <c r="JU18" s="388">
        <v>852.626043203395</v>
      </c>
      <c r="JV18" s="388">
        <v>867.84</v>
      </c>
      <c r="JW18" s="388">
        <v>858</v>
      </c>
      <c r="JX18" s="388">
        <v>813.928202319878</v>
      </c>
      <c r="JY18" s="388">
        <v>995</v>
      </c>
      <c r="JZ18" s="388">
        <v>799.5</v>
      </c>
      <c r="KA18" s="388">
        <v>888.43</v>
      </c>
    </row>
    <row r="19" ht="28.8" hidden="1" customHeight="1" spans="1:287">
      <c r="A19" s="401"/>
      <c r="B19" s="141" t="s">
        <v>209</v>
      </c>
      <c r="C19" s="163">
        <v>12032.7491</v>
      </c>
      <c r="D19" s="359">
        <f>C19/V19-1</f>
        <v>-0.234380455005864</v>
      </c>
      <c r="E19" s="109">
        <v>14351.0886</v>
      </c>
      <c r="F19" s="359">
        <f>E19/X19-1</f>
        <v>-0.104303956130376</v>
      </c>
      <c r="G19" s="109">
        <v>14986.0133</v>
      </c>
      <c r="H19" s="359">
        <f>G19/Z19-1</f>
        <v>-0.0984382547192663</v>
      </c>
      <c r="I19" s="109">
        <v>17342.3056</v>
      </c>
      <c r="J19" s="359">
        <f>I19/AB19-1</f>
        <v>-0.0675679981340935</v>
      </c>
      <c r="K19" s="109">
        <v>19384.3163</v>
      </c>
      <c r="L19" s="359">
        <f>K19/AD19-1</f>
        <v>0.0848847032185804</v>
      </c>
      <c r="M19" s="109">
        <v>18766.1584</v>
      </c>
      <c r="N19" s="359">
        <f>M19/AF19-1</f>
        <v>0.141169836004102</v>
      </c>
      <c r="O19" s="109">
        <v>18373.3325</v>
      </c>
      <c r="P19" s="359">
        <f>O19/AH19-1</f>
        <v>0.0563046893537316</v>
      </c>
      <c r="Q19" s="127"/>
      <c r="R19" s="127"/>
      <c r="S19" s="109">
        <f t="shared" si="7"/>
        <v>115235.9638</v>
      </c>
      <c r="T19" s="359">
        <f t="shared" si="8"/>
        <v>-0.161168962881699</v>
      </c>
      <c r="U19" s="359"/>
      <c r="V19" s="403">
        <v>15716.3557</v>
      </c>
      <c r="W19" s="404">
        <f>V19/AW19-1</f>
        <v>0.204049567720287</v>
      </c>
      <c r="X19" s="488">
        <v>16022.2753</v>
      </c>
      <c r="Y19" s="405">
        <f>X19/AY19-1</f>
        <v>0.0856026479088883</v>
      </c>
      <c r="Z19" s="488">
        <v>16622.2817</v>
      </c>
      <c r="AA19" s="405">
        <f>Z19/BA19-1</f>
        <v>0.0497034495921773</v>
      </c>
      <c r="AB19" s="488">
        <v>18599.003</v>
      </c>
      <c r="AC19" s="405">
        <f>AB19/BC19-1</f>
        <v>-0.0348345532640676</v>
      </c>
      <c r="AD19" s="488">
        <v>17867.628</v>
      </c>
      <c r="AE19" s="405">
        <f>AD19/BE19-1</f>
        <v>-0.0511938617188323</v>
      </c>
      <c r="AF19" s="488">
        <v>16444.6674</v>
      </c>
      <c r="AG19" s="405">
        <f>AF19/BG19-1</f>
        <v>-0.0570810741644616</v>
      </c>
      <c r="AH19" s="488">
        <v>17393.9704</v>
      </c>
      <c r="AI19" s="405">
        <f>AH19/BI19-1</f>
        <v>-0.0793936033571653</v>
      </c>
      <c r="AJ19" s="488">
        <v>18710.6664</v>
      </c>
      <c r="AK19" s="405">
        <f>AJ19/BK19-1</f>
        <v>-0.0599832607620372</v>
      </c>
      <c r="AL19" s="488">
        <v>17273.6802</v>
      </c>
      <c r="AM19" s="405">
        <f>AL19/BM19-1</f>
        <v>-0.0736724800899176</v>
      </c>
      <c r="AN19" s="488">
        <v>18570.5124</v>
      </c>
      <c r="AO19" s="405">
        <f>AN19/BO19-1</f>
        <v>-0.0754711137526032</v>
      </c>
      <c r="AP19" s="488">
        <v>17276.7181</v>
      </c>
      <c r="AQ19" s="405">
        <f>AP19/BQ19-1</f>
        <v>-0.0874487270473198</v>
      </c>
      <c r="AR19" s="488">
        <v>13873.2427</v>
      </c>
      <c r="AS19" s="405">
        <f>AR19/BS19-1</f>
        <v>0.0351159459548955</v>
      </c>
      <c r="AT19" s="489">
        <f t="shared" si="21"/>
        <v>204371.0013</v>
      </c>
      <c r="AU19" s="404">
        <f t="shared" si="22"/>
        <v>-0.0224133634566943</v>
      </c>
      <c r="AV19" s="360"/>
      <c r="AW19" s="488">
        <v>13052.9142</v>
      </c>
      <c r="AX19" s="404">
        <v>0.397211805000572</v>
      </c>
      <c r="AY19" s="403">
        <v>14758.8764</v>
      </c>
      <c r="AZ19" s="405">
        <f t="shared" si="65"/>
        <v>0.185780614255249</v>
      </c>
      <c r="BA19" s="403">
        <v>15835.2168</v>
      </c>
      <c r="BB19" s="405">
        <f t="shared" si="66"/>
        <v>0.135372206372838</v>
      </c>
      <c r="BC19" s="403">
        <v>19270.2744</v>
      </c>
      <c r="BD19" s="405">
        <f t="shared" si="67"/>
        <v>0.280112313475445</v>
      </c>
      <c r="BE19" s="406">
        <v>18831.6952</v>
      </c>
      <c r="BF19" s="405">
        <f t="shared" si="68"/>
        <v>0.171482968099421</v>
      </c>
      <c r="BG19" s="403">
        <v>17440.1711</v>
      </c>
      <c r="BH19" s="405">
        <f t="shared" si="69"/>
        <v>0.152351977859624</v>
      </c>
      <c r="BI19" s="403">
        <v>18894.036</v>
      </c>
      <c r="BJ19" s="405">
        <f t="shared" si="70"/>
        <v>0.0718481099610817</v>
      </c>
      <c r="BK19" s="163">
        <v>19904.6098</v>
      </c>
      <c r="BL19" s="402">
        <f t="shared" si="71"/>
        <v>0.124441851684099</v>
      </c>
      <c r="BM19" s="163">
        <v>18647.4868</v>
      </c>
      <c r="BN19" s="402">
        <f t="shared" si="72"/>
        <v>0.15886510996331</v>
      </c>
      <c r="BO19" s="163">
        <v>20086.4599</v>
      </c>
      <c r="BP19" s="402">
        <f t="shared" si="73"/>
        <v>0.199204035948599</v>
      </c>
      <c r="BQ19" s="163">
        <v>18932.3259</v>
      </c>
      <c r="BR19" s="402">
        <f t="shared" si="74"/>
        <v>0.216255178792472</v>
      </c>
      <c r="BS19" s="163">
        <v>13402.5978</v>
      </c>
      <c r="BT19" s="402">
        <f t="shared" si="75"/>
        <v>0.0389059755365995</v>
      </c>
      <c r="BU19" s="109">
        <f t="shared" si="34"/>
        <v>209056.6643</v>
      </c>
      <c r="BV19" s="359">
        <f t="shared" si="35"/>
        <v>0.170294386081084</v>
      </c>
      <c r="BW19" s="429"/>
      <c r="BX19" s="93">
        <v>9342.1156</v>
      </c>
      <c r="BY19" s="402">
        <f t="shared" si="36"/>
        <v>-0.237386454986966</v>
      </c>
      <c r="BZ19" s="93">
        <v>12446.5489</v>
      </c>
      <c r="CA19" s="359">
        <f t="shared" si="37"/>
        <v>-0.159395141846422</v>
      </c>
      <c r="CB19" s="109">
        <v>13947.1591</v>
      </c>
      <c r="CC19" s="359">
        <f t="shared" si="38"/>
        <v>0.24119077632149</v>
      </c>
      <c r="CD19" s="109">
        <v>15053.581</v>
      </c>
      <c r="CE19" s="359">
        <v>0.505848554874323</v>
      </c>
      <c r="CF19" s="163">
        <v>16075.0909</v>
      </c>
      <c r="CG19" s="359">
        <f t="shared" si="39"/>
        <v>0.529243799258257</v>
      </c>
      <c r="CH19" s="163">
        <v>15134.4133</v>
      </c>
      <c r="CI19" s="359">
        <f t="shared" si="40"/>
        <v>0.192183875012001</v>
      </c>
      <c r="CJ19" s="163">
        <v>17627.5312</v>
      </c>
      <c r="CK19" s="359">
        <f t="shared" si="41"/>
        <v>0.0897030057500983</v>
      </c>
      <c r="CL19" s="109">
        <v>17701.7689</v>
      </c>
      <c r="CM19" s="359">
        <f t="shared" si="42"/>
        <v>0.154442057821463</v>
      </c>
      <c r="CN19" s="109">
        <f>16047.9452+CN21</f>
        <v>16091.1625</v>
      </c>
      <c r="CO19" s="359">
        <f t="shared" si="43"/>
        <v>0.284294347362939</v>
      </c>
      <c r="CP19" s="109">
        <f>16715.5265+CP21</f>
        <v>16749.8268</v>
      </c>
      <c r="CQ19" s="359">
        <f t="shared" si="44"/>
        <v>0.609016804389843</v>
      </c>
      <c r="CR19" s="109">
        <v>15566.0804</v>
      </c>
      <c r="CS19" s="359">
        <f t="shared" si="45"/>
        <v>1.04482620525173</v>
      </c>
      <c r="CT19" s="109">
        <v>12900.6841</v>
      </c>
      <c r="CU19" s="359">
        <f t="shared" si="46"/>
        <v>0.98884994221464</v>
      </c>
      <c r="CV19" s="109">
        <f t="shared" si="47"/>
        <v>178635.9627</v>
      </c>
      <c r="CW19" s="359">
        <f t="shared" si="48"/>
        <v>0.275560290506568</v>
      </c>
      <c r="CX19" s="408">
        <f t="shared" si="49"/>
        <v>-0.171231050560422</v>
      </c>
      <c r="CY19" s="408"/>
      <c r="CZ19" s="490">
        <v>12250.1307</v>
      </c>
      <c r="DA19" s="93">
        <v>14806.6583</v>
      </c>
      <c r="DB19" s="93">
        <v>11236.9181</v>
      </c>
      <c r="DC19" s="107">
        <v>9996.743</v>
      </c>
      <c r="DD19" s="163">
        <v>10511.7908</v>
      </c>
      <c r="DE19" s="163">
        <v>12694.6972</v>
      </c>
      <c r="DF19" s="109">
        <v>16176.4546</v>
      </c>
      <c r="DG19" s="109">
        <v>15333.614</v>
      </c>
      <c r="DH19" s="109">
        <v>12529.1858</v>
      </c>
      <c r="DI19" s="109">
        <v>10409.9763</v>
      </c>
      <c r="DJ19" s="109">
        <v>7612.4222</v>
      </c>
      <c r="DK19" s="109">
        <v>6486.5045</v>
      </c>
      <c r="DL19" s="109">
        <v>140045.0955</v>
      </c>
      <c r="DM19" s="410">
        <v>-0.188667829438015</v>
      </c>
      <c r="DN19" s="411"/>
      <c r="DO19" s="412">
        <v>13248.4</v>
      </c>
      <c r="DP19" s="87">
        <f>(DO19-DX19)/DX19</f>
        <v>-0.285148671745109</v>
      </c>
      <c r="DQ19" s="103">
        <v>12525.49</v>
      </c>
      <c r="DR19" s="104"/>
      <c r="DS19" s="103">
        <v>15217.2374</v>
      </c>
      <c r="DT19" s="104">
        <f t="shared" si="50"/>
        <v>1.7388836213103</v>
      </c>
      <c r="DU19" s="103"/>
      <c r="DV19" s="103">
        <v>19166.71</v>
      </c>
      <c r="DW19" s="104">
        <f t="shared" si="51"/>
        <v>1.47888127263321</v>
      </c>
      <c r="DX19" s="103">
        <v>18533.0844</v>
      </c>
      <c r="DY19" s="104">
        <f t="shared" si="52"/>
        <v>1.00466029204976</v>
      </c>
      <c r="DZ19" s="103">
        <v>18196.1231</v>
      </c>
      <c r="EA19" s="104">
        <f t="shared" si="53"/>
        <v>0.997379045005489</v>
      </c>
      <c r="EB19" s="103">
        <v>16168.4584</v>
      </c>
      <c r="EC19" s="104">
        <f t="shared" si="54"/>
        <v>0.179748879970814</v>
      </c>
      <c r="ED19" s="103">
        <v>9015.3316</v>
      </c>
      <c r="EE19" s="104">
        <f t="shared" si="55"/>
        <v>-0.397974517529215</v>
      </c>
      <c r="EF19" s="103">
        <v>11638.7635</v>
      </c>
      <c r="EG19" s="104">
        <f t="shared" si="56"/>
        <v>-0.372493900844582</v>
      </c>
      <c r="EH19" s="103">
        <v>14994.4387</v>
      </c>
      <c r="EI19" s="104">
        <f t="shared" si="57"/>
        <v>-0.0879295194647202</v>
      </c>
      <c r="EJ19" s="103">
        <v>12488.986</v>
      </c>
      <c r="EK19" s="104">
        <f t="shared" si="58"/>
        <v>-0.374017041752293</v>
      </c>
      <c r="EL19" s="103">
        <v>11418.2705</v>
      </c>
      <c r="EM19" s="104">
        <f t="shared" si="59"/>
        <v>-0.113075151468075</v>
      </c>
      <c r="EN19" s="93">
        <f t="shared" si="64"/>
        <v>172611.2936</v>
      </c>
      <c r="EO19" s="104">
        <f t="shared" si="60"/>
        <v>0.0657935897883156</v>
      </c>
      <c r="EP19" s="478">
        <v>33820</v>
      </c>
      <c r="EQ19" s="104">
        <f>(EP19-FP19)/FP19</f>
        <v>-0.0515984296130118</v>
      </c>
      <c r="ER19" s="103">
        <v>0</v>
      </c>
      <c r="ES19" s="104">
        <f>(ER19-FQ19)/FQ19</f>
        <v>-1</v>
      </c>
      <c r="ET19" s="103">
        <v>5556</v>
      </c>
      <c r="EU19" s="104">
        <f>(ET19-FR19)/FR19</f>
        <v>-0.85650826446281</v>
      </c>
      <c r="EV19" s="103">
        <v>7732</v>
      </c>
      <c r="EW19" s="104">
        <f>(EV19-FS19)/FS19</f>
        <v>-0.789634063392736</v>
      </c>
      <c r="EX19" s="103">
        <v>9245</v>
      </c>
      <c r="EY19" s="104">
        <f>(EX19-FT19)/FT19</f>
        <v>-0.757476390346275</v>
      </c>
      <c r="EZ19" s="103">
        <v>9110</v>
      </c>
      <c r="FA19" s="104">
        <f>(EZ19-FU19)/FU19</f>
        <v>-0.745424060360486</v>
      </c>
      <c r="FB19" s="103">
        <v>13705</v>
      </c>
      <c r="FC19" s="104">
        <f>(FB19-FV19)/FV19</f>
        <v>-0.634240725914065</v>
      </c>
      <c r="FD19" s="103">
        <v>14975</v>
      </c>
      <c r="FE19" s="104">
        <f>(FD19-FW19)/FW19</f>
        <v>-0.622890959456056</v>
      </c>
      <c r="FF19" s="103">
        <v>18547.65</v>
      </c>
      <c r="FG19" s="104">
        <f>(FF19-FX19)/FX19</f>
        <v>-0.537810864689758</v>
      </c>
      <c r="FH19" s="103">
        <v>16440</v>
      </c>
      <c r="FI19" s="104">
        <f>(FH19-FY19)/FY19</f>
        <v>-0.672379434037465</v>
      </c>
      <c r="FJ19" s="103">
        <v>19951</v>
      </c>
      <c r="FK19" s="104">
        <f>(FJ19-GA19)/GA19</f>
        <v>-0.505673934588702</v>
      </c>
      <c r="FL19" s="103">
        <v>12874</v>
      </c>
      <c r="FM19" s="456">
        <f>(FL19-GC19)/GC19</f>
        <v>-0.662277019937041</v>
      </c>
      <c r="FN19" s="95">
        <v>161955.65</v>
      </c>
      <c r="FO19" s="96">
        <f>(FN19-(FP19+FQ19+FR19+FS19+FT19+FU19+FV19+FW19+FX19+FY19+GA19+GC19))/(FP19+FQ19+FR19+FS19+FT19+FU19+FV19+FW19+FX19+FY19+GA19+GC19)</f>
        <v>-0.664851159373804</v>
      </c>
      <c r="FP19" s="456">
        <v>35660</v>
      </c>
      <c r="FQ19" s="456">
        <v>52225</v>
      </c>
      <c r="FR19" s="456">
        <v>38720</v>
      </c>
      <c r="FS19" s="456">
        <v>36755</v>
      </c>
      <c r="FT19" s="456">
        <v>38120</v>
      </c>
      <c r="FU19" s="456">
        <v>35785</v>
      </c>
      <c r="FV19" s="480">
        <v>37470</v>
      </c>
      <c r="FW19" s="480">
        <v>39710</v>
      </c>
      <c r="FX19" s="480">
        <v>40130</v>
      </c>
      <c r="FY19" s="480">
        <v>50180</v>
      </c>
      <c r="FZ19" s="491">
        <f>(FY19-HA19)/HA19</f>
        <v>-0.0178117048346056</v>
      </c>
      <c r="GA19" s="480">
        <v>40360</v>
      </c>
      <c r="GB19" s="491">
        <f>(GA19-HC19)/HC19</f>
        <v>-0.0528000600800755</v>
      </c>
      <c r="GC19" s="480">
        <v>38120</v>
      </c>
      <c r="GD19" s="491">
        <f>(GC19-HE19)/HE19</f>
        <v>-0.0488784650315627</v>
      </c>
      <c r="GE19" s="492">
        <f>FP19+FQ19+FR19+FS19+FT19+FU19+FV19+FW19+FX19+FY19+GA19+GC19</f>
        <v>483235</v>
      </c>
      <c r="GF19" s="481">
        <f>(GE19-HG19)/HG19</f>
        <v>-0.0815638436049962</v>
      </c>
      <c r="GG19" s="415"/>
      <c r="GH19" s="392"/>
      <c r="GI19" s="417">
        <v>37950</v>
      </c>
      <c r="GJ19" s="104">
        <f>(GI19-HL19)/HL19</f>
        <v>-0.0594795539033457</v>
      </c>
      <c r="GK19" s="103">
        <v>54650</v>
      </c>
      <c r="GL19" s="104">
        <f>(GK19-HN19)/HN19</f>
        <v>-0.0569456427955134</v>
      </c>
      <c r="GM19" s="103">
        <v>42358</v>
      </c>
      <c r="GN19" s="104">
        <f>(GM19-HP19)/HP19</f>
        <v>-0.050056066382597</v>
      </c>
      <c r="GO19" s="103">
        <v>40385</v>
      </c>
      <c r="GP19" s="104">
        <f>(GO19-HR19)/HR19</f>
        <v>-0.0470740915526192</v>
      </c>
      <c r="GQ19" s="103">
        <v>44523</v>
      </c>
      <c r="GR19" s="104">
        <f>(GQ19-HT19)/HT19</f>
        <v>-0.0431334622823984</v>
      </c>
      <c r="GS19" s="103">
        <v>42750</v>
      </c>
      <c r="GT19" s="104">
        <f>(GS19-HW19)/HW19</f>
        <v>0</v>
      </c>
      <c r="GU19" s="103">
        <v>41510</v>
      </c>
      <c r="GV19" s="104">
        <f>(GU19-HY19)/HY19</f>
        <v>-0.0346511627906977</v>
      </c>
      <c r="GW19" s="103">
        <v>44145</v>
      </c>
      <c r="GX19" s="104">
        <f>(GW19-IA19)/IA19</f>
        <v>-0.0310579455662862</v>
      </c>
      <c r="GY19" s="103">
        <v>44100</v>
      </c>
      <c r="GZ19" s="104">
        <f>(GY19-IC19)/IC19</f>
        <v>-0.0204353620613061</v>
      </c>
      <c r="HA19" s="103">
        <v>51090</v>
      </c>
      <c r="HB19" s="104">
        <f>(HA19-IE19)/IE19</f>
        <v>-0.0446896035901271</v>
      </c>
      <c r="HC19" s="103">
        <v>42609.8</v>
      </c>
      <c r="HD19" s="104">
        <f>(HC19-IG19)/IG19</f>
        <v>-0.0471869409660107</v>
      </c>
      <c r="HE19" s="103">
        <v>40079</v>
      </c>
      <c r="HF19" s="104">
        <f>(HE19-II19)/II19</f>
        <v>-0.094873532068654</v>
      </c>
      <c r="HG19" s="414">
        <f>GI19+GK19+GM19+GO19+GQ19+GS19+GU19+GW19+GY19+HA19+HC19+HE19</f>
        <v>526149.8</v>
      </c>
      <c r="HH19" s="103">
        <f>HE19+HC19+HA19+GY19+GW19+GU19+GS19+GQ19+GO19+GM19+GK19+GI19</f>
        <v>526149.8</v>
      </c>
      <c r="HI19" s="394"/>
      <c r="HJ19" s="411"/>
      <c r="HK19" s="493"/>
      <c r="HL19" s="417">
        <v>40350</v>
      </c>
      <c r="HM19" s="418">
        <f>(HL19-IN19)/IN19</f>
        <v>0.0302303017923709</v>
      </c>
      <c r="HN19" s="421">
        <v>57950</v>
      </c>
      <c r="HO19" s="418">
        <f>(HN19-IP19)/IP19</f>
        <v>0.0229479258605472</v>
      </c>
      <c r="HP19" s="421">
        <v>44590</v>
      </c>
      <c r="HQ19" s="423">
        <f>(HP19-IR19)/IR19</f>
        <v>0.0154862218173537</v>
      </c>
      <c r="HR19" s="439">
        <v>42380</v>
      </c>
      <c r="HS19" s="304">
        <f>(HR19-IT19)/IT19</f>
        <v>0.0126158845455414</v>
      </c>
      <c r="HT19" s="439">
        <v>46530</v>
      </c>
      <c r="HU19" s="304">
        <f>(HT19-IV19)/IV19</f>
        <v>0.0108624809906583</v>
      </c>
      <c r="HV19" s="423"/>
      <c r="HW19" s="439">
        <v>42750</v>
      </c>
      <c r="HX19" s="304">
        <f>(HW19-IX19)/IX19</f>
        <v>0.0118103713521573</v>
      </c>
      <c r="HY19" s="439">
        <v>43000</v>
      </c>
      <c r="HZ19" s="304">
        <f>(HY19-IZ19)/IZ19</f>
        <v>0.0105757931844888</v>
      </c>
      <c r="IA19" s="439">
        <v>45560</v>
      </c>
      <c r="IB19" s="422">
        <f>(IA19-JB19)/JB19</f>
        <v>0.016057091882248</v>
      </c>
      <c r="IC19" s="439">
        <v>45020</v>
      </c>
      <c r="ID19" s="425">
        <f>(IC19-JD19)/JD19</f>
        <v>0.0149926727539173</v>
      </c>
      <c r="IE19" s="439">
        <v>53480</v>
      </c>
      <c r="IF19" s="425">
        <f>(IE19-JF19)/JF19</f>
        <v>0.0119205298013245</v>
      </c>
      <c r="IG19" s="439">
        <v>44720</v>
      </c>
      <c r="IH19" s="309">
        <f>(IG19-JH19)/JH19</f>
        <v>0.0106214689265537</v>
      </c>
      <c r="II19" s="439">
        <v>44280</v>
      </c>
      <c r="IJ19" s="309">
        <f>(II19-JJ19)/JJ19</f>
        <v>0.0107281442593015</v>
      </c>
      <c r="IK19" s="391">
        <f>HL19+HN19+HP19+HR19+HT19+HW19+HY19+IA19+IC19+IE19+IG19+II19</f>
        <v>550610</v>
      </c>
      <c r="IL19" s="104">
        <f>IK19/JL19-1</f>
        <v>0.0149231171914457</v>
      </c>
      <c r="IM19" s="392"/>
      <c r="IN19" s="417">
        <v>39166</v>
      </c>
      <c r="IO19" s="104">
        <f>IN19/JP19-1</f>
        <v>0.0434591547963066</v>
      </c>
      <c r="IP19" s="103">
        <v>56650</v>
      </c>
      <c r="IQ19" s="104">
        <f>IP19/JQ19-1</f>
        <v>0.0436876287949408</v>
      </c>
      <c r="IR19" s="103">
        <v>43910</v>
      </c>
      <c r="IS19" s="394">
        <f>(IR19-JR19)/JR19</f>
        <v>0.0398153999070199</v>
      </c>
      <c r="IT19" s="517">
        <v>41852</v>
      </c>
      <c r="IU19" s="104">
        <f>(IT19-JS19)/JS19</f>
        <v>0.0289797521160251</v>
      </c>
      <c r="IV19" s="517">
        <v>46030</v>
      </c>
      <c r="IW19" s="104">
        <f>(IV19-JT19)/JT19</f>
        <v>0.040423610242881</v>
      </c>
      <c r="IX19" s="517">
        <v>42251</v>
      </c>
      <c r="IY19" s="104">
        <f>(IX19-JU19)/JU19</f>
        <v>0.0281418263648178</v>
      </c>
      <c r="IZ19" s="517">
        <v>42550</v>
      </c>
      <c r="JA19" s="104">
        <f>(IZ19-JV19)/JV19</f>
        <v>0.0244747818082259</v>
      </c>
      <c r="JB19" s="103">
        <v>44840</v>
      </c>
      <c r="JC19" s="104">
        <f>(JB19-JW19)/JW19</f>
        <v>0.0403736435583377</v>
      </c>
      <c r="JD19" s="103">
        <v>44355</v>
      </c>
      <c r="JE19" s="394">
        <f>(JD19-JX19)/JX19</f>
        <v>0.0287941442693038</v>
      </c>
      <c r="JF19" s="103">
        <v>52850</v>
      </c>
      <c r="JG19" s="418">
        <f>(JF19-JY19)/JY19</f>
        <v>0.0174737606825056</v>
      </c>
      <c r="JH19" s="103">
        <v>44250</v>
      </c>
      <c r="JI19" s="418">
        <f>(JH19-JZ19)/JZ19</f>
        <v>-0.0419174641666306</v>
      </c>
      <c r="JJ19" s="103">
        <v>43810</v>
      </c>
      <c r="JK19" s="418">
        <f>(JJ19-KA19)/KA19</f>
        <v>-0.102290889717635</v>
      </c>
      <c r="JL19" s="399">
        <f t="shared" si="62"/>
        <v>542514</v>
      </c>
      <c r="JM19" s="398">
        <f>JL19/JO19-1</f>
        <v>0.0145590410989256</v>
      </c>
      <c r="JN19" s="400"/>
      <c r="JO19" s="518">
        <v>534728.860542579</v>
      </c>
      <c r="JP19" s="424">
        <v>37534.7705944902</v>
      </c>
      <c r="JQ19" s="424">
        <v>54278.6926251191</v>
      </c>
      <c r="JR19" s="424">
        <v>42228.649435204</v>
      </c>
      <c r="JS19" s="424">
        <v>40673.29790886</v>
      </c>
      <c r="JT19" s="424">
        <v>44241.595006917</v>
      </c>
      <c r="JU19" s="424">
        <v>41094.5250125521</v>
      </c>
      <c r="JV19" s="424">
        <v>41533.4772076069</v>
      </c>
      <c r="JW19" s="424">
        <v>43099.9</v>
      </c>
      <c r="JX19" s="424">
        <v>43113.5813195194</v>
      </c>
      <c r="JY19" s="424">
        <v>51942.37143231</v>
      </c>
      <c r="JZ19" s="424">
        <v>46186</v>
      </c>
      <c r="KA19" s="424">
        <v>48802</v>
      </c>
    </row>
    <row r="20" ht="28.8" customHeight="1" spans="1:287">
      <c r="A20" s="401"/>
      <c r="B20" s="141" t="s">
        <v>211</v>
      </c>
      <c r="C20" s="168"/>
      <c r="D20" s="402"/>
      <c r="E20" s="163"/>
      <c r="F20" s="474"/>
      <c r="G20" s="163"/>
      <c r="H20" s="474"/>
      <c r="I20" s="163"/>
      <c r="J20" s="474"/>
      <c r="K20" s="163"/>
      <c r="L20" s="474"/>
      <c r="M20" s="163"/>
      <c r="N20" s="402"/>
      <c r="O20" s="163"/>
      <c r="P20" s="402"/>
      <c r="Q20" s="127"/>
      <c r="R20" s="127"/>
      <c r="S20" s="109">
        <f t="shared" si="7"/>
        <v>0</v>
      </c>
      <c r="T20" s="359" t="e">
        <f t="shared" si="8"/>
        <v>#DIV/0!</v>
      </c>
      <c r="U20" s="404"/>
      <c r="V20" s="168"/>
      <c r="W20" s="402"/>
      <c r="X20" s="167"/>
      <c r="Y20" s="402"/>
      <c r="Z20" s="167"/>
      <c r="AA20" s="402"/>
      <c r="AB20" s="167"/>
      <c r="AC20" s="402"/>
      <c r="AD20" s="167"/>
      <c r="AE20" s="402"/>
      <c r="AF20" s="167"/>
      <c r="AG20" s="402"/>
      <c r="AH20" s="167"/>
      <c r="AI20" s="402"/>
      <c r="AJ20" s="167"/>
      <c r="AK20" s="402"/>
      <c r="AL20" s="167"/>
      <c r="AM20" s="402"/>
      <c r="AN20" s="167"/>
      <c r="AO20" s="402"/>
      <c r="AP20" s="167"/>
      <c r="AQ20" s="402"/>
      <c r="AR20" s="167"/>
      <c r="AS20" s="402"/>
      <c r="AT20" s="93">
        <f t="shared" si="21"/>
        <v>0</v>
      </c>
      <c r="AU20" s="402">
        <f t="shared" si="22"/>
        <v>-1</v>
      </c>
      <c r="AV20" s="360"/>
      <c r="AW20" s="93">
        <v>0.0254</v>
      </c>
      <c r="AX20" s="402">
        <v>-0.995074846816102</v>
      </c>
      <c r="AY20" s="163">
        <v>0.0153</v>
      </c>
      <c r="AZ20" s="402">
        <f t="shared" si="65"/>
        <v>-0.996916379466715</v>
      </c>
      <c r="BA20" s="163"/>
      <c r="BB20" s="402">
        <f t="shared" si="66"/>
        <v>-1</v>
      </c>
      <c r="BC20" s="163"/>
      <c r="BD20" s="402">
        <f t="shared" si="67"/>
        <v>-1</v>
      </c>
      <c r="BE20" s="163"/>
      <c r="BF20" s="402">
        <f t="shared" si="68"/>
        <v>-1</v>
      </c>
      <c r="BG20" s="163"/>
      <c r="BH20" s="402">
        <f t="shared" si="69"/>
        <v>-1</v>
      </c>
      <c r="BI20" s="163"/>
      <c r="BJ20" s="402">
        <f t="shared" si="70"/>
        <v>-1</v>
      </c>
      <c r="BK20" s="163"/>
      <c r="BL20" s="402">
        <f t="shared" si="71"/>
        <v>-1</v>
      </c>
      <c r="BM20" s="163"/>
      <c r="BN20" s="402">
        <f t="shared" si="72"/>
        <v>-1</v>
      </c>
      <c r="BO20" s="163"/>
      <c r="BP20" s="402">
        <f t="shared" si="73"/>
        <v>-1</v>
      </c>
      <c r="BQ20" s="163"/>
      <c r="BR20" s="402">
        <f t="shared" si="74"/>
        <v>-1</v>
      </c>
      <c r="BS20" s="163"/>
      <c r="BT20" s="402">
        <f t="shared" si="75"/>
        <v>-1</v>
      </c>
      <c r="BU20" s="163">
        <f t="shared" si="34"/>
        <v>0.0407</v>
      </c>
      <c r="BV20" s="402">
        <f t="shared" si="35"/>
        <v>-0.99910500078065</v>
      </c>
      <c r="BW20" s="429"/>
      <c r="BX20" s="93">
        <v>5.1572</v>
      </c>
      <c r="BY20" s="402">
        <f t="shared" si="36"/>
        <v>-0.205533475059309</v>
      </c>
      <c r="BZ20" s="93">
        <v>4.9617</v>
      </c>
      <c r="CA20" s="402">
        <f t="shared" si="37"/>
        <v>-0.168016499823935</v>
      </c>
      <c r="CB20" s="163">
        <v>5.0897</v>
      </c>
      <c r="CC20" s="402">
        <f t="shared" si="38"/>
        <v>-0.296478036104277</v>
      </c>
      <c r="CD20" s="163">
        <v>5.2064</v>
      </c>
      <c r="CE20" s="402">
        <v>-0.14060281931927</v>
      </c>
      <c r="CF20" s="163">
        <v>5.0463</v>
      </c>
      <c r="CG20" s="402">
        <f t="shared" si="39"/>
        <v>-0.346241044708443</v>
      </c>
      <c r="CH20" s="163">
        <v>5.0557</v>
      </c>
      <c r="CI20" s="402">
        <f t="shared" si="40"/>
        <v>-0.291462286627239</v>
      </c>
      <c r="CJ20" s="163">
        <v>4.0577</v>
      </c>
      <c r="CK20" s="402">
        <f t="shared" si="41"/>
        <v>-0.382624572080639</v>
      </c>
      <c r="CL20" s="163">
        <v>3.203</v>
      </c>
      <c r="CM20" s="402">
        <f t="shared" si="42"/>
        <v>-0.522873188243881</v>
      </c>
      <c r="CN20" s="163">
        <v>3.156</v>
      </c>
      <c r="CO20" s="402">
        <f t="shared" si="43"/>
        <v>-0.501484804448095</v>
      </c>
      <c r="CP20" s="163">
        <v>3.4749</v>
      </c>
      <c r="CQ20" s="402">
        <f t="shared" si="44"/>
        <v>-0.420598926201354</v>
      </c>
      <c r="CR20" s="163">
        <v>0.8082</v>
      </c>
      <c r="CS20" s="402">
        <f t="shared" si="45"/>
        <v>-0.863068008539189</v>
      </c>
      <c r="CT20" s="163">
        <v>0.2581</v>
      </c>
      <c r="CU20" s="402">
        <f t="shared" si="46"/>
        <v>-0.95095486935867</v>
      </c>
      <c r="CV20" s="163">
        <f t="shared" si="47"/>
        <v>45.4749</v>
      </c>
      <c r="CW20" s="402">
        <f t="shared" si="48"/>
        <v>-0.412322452497845</v>
      </c>
      <c r="CX20" s="408">
        <f t="shared" si="49"/>
        <v>-0.680648354367731</v>
      </c>
      <c r="CY20" s="408"/>
      <c r="CZ20" s="490">
        <v>6.4914</v>
      </c>
      <c r="DA20" s="93">
        <v>5.9637</v>
      </c>
      <c r="DB20" s="93">
        <v>7.2346</v>
      </c>
      <c r="DC20" s="107">
        <v>6.0582</v>
      </c>
      <c r="DD20" s="163">
        <v>7.7189</v>
      </c>
      <c r="DE20" s="163">
        <v>7.1354</v>
      </c>
      <c r="DF20" s="109">
        <v>6.5725</v>
      </c>
      <c r="DG20" s="109">
        <v>6.7131</v>
      </c>
      <c r="DH20" s="109">
        <v>6.3308</v>
      </c>
      <c r="DI20" s="109">
        <v>5.9974</v>
      </c>
      <c r="DJ20" s="109">
        <v>5.9022</v>
      </c>
      <c r="DK20" s="109">
        <v>5.2625</v>
      </c>
      <c r="DL20" s="109">
        <v>77.3807</v>
      </c>
      <c r="DM20" s="410">
        <v>-0.105129557287149</v>
      </c>
      <c r="DN20" s="411"/>
      <c r="DO20" s="412">
        <v>9.71</v>
      </c>
      <c r="DP20" s="87"/>
      <c r="DQ20" s="103">
        <v>6.5494</v>
      </c>
      <c r="DR20" s="104"/>
      <c r="DS20" s="103">
        <v>6.625</v>
      </c>
      <c r="DT20" s="104" t="e">
        <f t="shared" si="50"/>
        <v>#DIV/0!</v>
      </c>
      <c r="DU20" s="103"/>
      <c r="DV20" s="103">
        <v>8.13</v>
      </c>
      <c r="DW20" s="104" t="e">
        <f t="shared" si="51"/>
        <v>#DIV/0!</v>
      </c>
      <c r="DX20" s="103">
        <v>6.8826</v>
      </c>
      <c r="DY20" s="104" t="e">
        <f t="shared" si="52"/>
        <v>#DIV/0!</v>
      </c>
      <c r="DZ20" s="103">
        <v>7.4525</v>
      </c>
      <c r="EA20" s="104" t="e">
        <f t="shared" si="53"/>
        <v>#DIV/0!</v>
      </c>
      <c r="EB20" s="103">
        <v>6.7351</v>
      </c>
      <c r="EC20" s="104" t="e">
        <f t="shared" si="54"/>
        <v>#DIV/0!</v>
      </c>
      <c r="ED20" s="103">
        <v>6.5642</v>
      </c>
      <c r="EE20" s="104" t="e">
        <f t="shared" si="55"/>
        <v>#DIV/0!</v>
      </c>
      <c r="EF20" s="103">
        <v>5.8838</v>
      </c>
      <c r="EG20" s="104" t="e">
        <f t="shared" si="56"/>
        <v>#DIV/0!</v>
      </c>
      <c r="EH20" s="103">
        <v>7.2076</v>
      </c>
      <c r="EI20" s="104" t="e">
        <f t="shared" si="57"/>
        <v>#DIV/0!</v>
      </c>
      <c r="EJ20" s="103">
        <v>7.2012</v>
      </c>
      <c r="EK20" s="104" t="e">
        <f t="shared" si="58"/>
        <v>#DIV/0!</v>
      </c>
      <c r="EL20" s="103">
        <v>7.53</v>
      </c>
      <c r="EM20" s="104" t="e">
        <f t="shared" si="59"/>
        <v>#DIV/0!</v>
      </c>
      <c r="EN20" s="93">
        <f t="shared" si="64"/>
        <v>86.4714</v>
      </c>
      <c r="EO20" s="104" t="e">
        <f t="shared" si="60"/>
        <v>#DIV/0!</v>
      </c>
      <c r="EP20" s="104"/>
      <c r="FN20" s="95">
        <v>0</v>
      </c>
      <c r="FO20" s="96"/>
      <c r="FP20" s="431"/>
      <c r="JL20" s="399">
        <v>0</v>
      </c>
      <c r="JM20" s="398"/>
      <c r="JN20" s="400"/>
      <c r="JO20" s="311"/>
      <c r="JP20" s="144"/>
      <c r="JQ20" s="144"/>
      <c r="JR20" s="144"/>
      <c r="JS20" s="144"/>
      <c r="JT20" s="144"/>
      <c r="JU20" s="144"/>
      <c r="JV20" s="144"/>
      <c r="JW20" s="144"/>
      <c r="JX20" s="144"/>
      <c r="JY20" s="144"/>
      <c r="JZ20" s="144"/>
      <c r="KA20" s="144"/>
    </row>
    <row r="21" ht="28.8" customHeight="1" spans="1:287">
      <c r="A21" s="28"/>
      <c r="B21" s="446" t="s">
        <v>212</v>
      </c>
      <c r="C21" s="168"/>
      <c r="D21" s="402"/>
      <c r="E21" s="163"/>
      <c r="F21" s="474"/>
      <c r="G21" s="163"/>
      <c r="H21" s="474"/>
      <c r="I21" s="163"/>
      <c r="J21" s="474"/>
      <c r="K21" s="163"/>
      <c r="L21" s="474"/>
      <c r="M21" s="163"/>
      <c r="N21" s="402"/>
      <c r="O21" s="163"/>
      <c r="P21" s="402"/>
      <c r="Q21" s="127"/>
      <c r="R21" s="127"/>
      <c r="S21" s="109">
        <f t="shared" si="7"/>
        <v>0</v>
      </c>
      <c r="T21" s="359" t="e">
        <f t="shared" si="8"/>
        <v>#DIV/0!</v>
      </c>
      <c r="U21" s="404"/>
      <c r="V21" s="168"/>
      <c r="W21" s="402"/>
      <c r="X21" s="167"/>
      <c r="Y21" s="402"/>
      <c r="Z21" s="167"/>
      <c r="AA21" s="402"/>
      <c r="AB21" s="167"/>
      <c r="AC21" s="402"/>
      <c r="AD21" s="167"/>
      <c r="AE21" s="402"/>
      <c r="AF21" s="167"/>
      <c r="AG21" s="402"/>
      <c r="AH21" s="167"/>
      <c r="AI21" s="402"/>
      <c r="AJ21" s="167"/>
      <c r="AK21" s="402"/>
      <c r="AL21" s="167"/>
      <c r="AM21" s="402"/>
      <c r="AN21" s="167"/>
      <c r="AO21" s="402"/>
      <c r="AP21" s="167"/>
      <c r="AQ21" s="402"/>
      <c r="AR21" s="167"/>
      <c r="AS21" s="402"/>
      <c r="AT21" s="93">
        <f t="shared" si="21"/>
        <v>0</v>
      </c>
      <c r="AU21" s="402">
        <f t="shared" si="22"/>
        <v>-1</v>
      </c>
      <c r="AV21" s="360"/>
      <c r="AW21" s="93">
        <v>0.5596</v>
      </c>
      <c r="AX21" s="402">
        <v>-0.992343717292171</v>
      </c>
      <c r="AY21" s="163">
        <v>0.4879</v>
      </c>
      <c r="AZ21" s="402">
        <f t="shared" si="65"/>
        <v>-0.993193027003272</v>
      </c>
      <c r="BA21" s="163"/>
      <c r="BB21" s="402">
        <f t="shared" si="66"/>
        <v>-1</v>
      </c>
      <c r="BC21" s="163"/>
      <c r="BD21" s="402">
        <f t="shared" si="67"/>
        <v>-1</v>
      </c>
      <c r="BE21" s="163"/>
      <c r="BF21" s="402">
        <f t="shared" si="68"/>
        <v>-1</v>
      </c>
      <c r="BG21" s="163"/>
      <c r="BH21" s="402">
        <f t="shared" si="69"/>
        <v>-1</v>
      </c>
      <c r="BI21" s="163"/>
      <c r="BJ21" s="402">
        <f t="shared" si="70"/>
        <v>-1</v>
      </c>
      <c r="BK21" s="163"/>
      <c r="BL21" s="402">
        <f t="shared" si="71"/>
        <v>-1</v>
      </c>
      <c r="BM21" s="163"/>
      <c r="BN21" s="402">
        <f t="shared" si="72"/>
        <v>-1</v>
      </c>
      <c r="BO21" s="163"/>
      <c r="BP21" s="402">
        <f t="shared" si="73"/>
        <v>-1</v>
      </c>
      <c r="BQ21" s="163"/>
      <c r="BR21" s="402">
        <f t="shared" si="74"/>
        <v>-1</v>
      </c>
      <c r="BS21" s="163"/>
      <c r="BT21" s="402">
        <f t="shared" si="75"/>
        <v>-1</v>
      </c>
      <c r="BU21" s="163">
        <f t="shared" si="34"/>
        <v>1.0475</v>
      </c>
      <c r="BV21" s="402">
        <f t="shared" si="35"/>
        <v>-0.998362883225984</v>
      </c>
      <c r="BW21" s="429"/>
      <c r="BX21" s="93">
        <v>73.0903</v>
      </c>
      <c r="BY21" s="402">
        <f t="shared" si="36"/>
        <v>-0.0963162892369473</v>
      </c>
      <c r="BZ21" s="93">
        <v>71.6765</v>
      </c>
      <c r="CA21" s="402">
        <f t="shared" si="37"/>
        <v>-0.0446063207283098</v>
      </c>
      <c r="CB21" s="163">
        <v>76.5988</v>
      </c>
      <c r="CC21" s="402">
        <f t="shared" si="38"/>
        <v>-0.0281042152516437</v>
      </c>
      <c r="CD21" s="163">
        <v>71.4834</v>
      </c>
      <c r="CE21" s="402">
        <v>-0.0015559789258438</v>
      </c>
      <c r="CF21" s="163">
        <v>69.8492</v>
      </c>
      <c r="CG21" s="402">
        <f t="shared" si="39"/>
        <v>-0.138450228741926</v>
      </c>
      <c r="CH21" s="163">
        <v>69.3744</v>
      </c>
      <c r="CI21" s="402">
        <f t="shared" si="40"/>
        <v>-0.113411468816734</v>
      </c>
      <c r="CJ21" s="163">
        <v>68.8137</v>
      </c>
      <c r="CK21" s="402">
        <f t="shared" si="41"/>
        <v>-0.143433822897879</v>
      </c>
      <c r="CL21" s="163">
        <v>45.303</v>
      </c>
      <c r="CM21" s="402">
        <f t="shared" si="42"/>
        <v>-0.460061498855835</v>
      </c>
      <c r="CN21" s="163">
        <v>43.2173</v>
      </c>
      <c r="CO21" s="402">
        <f t="shared" si="43"/>
        <v>-0.455682316252966</v>
      </c>
      <c r="CP21" s="163">
        <v>34.3003</v>
      </c>
      <c r="CQ21" s="402">
        <f t="shared" si="44"/>
        <v>-0.581408091811169</v>
      </c>
      <c r="CR21" s="163">
        <v>11.6255</v>
      </c>
      <c r="CS21" s="402">
        <f t="shared" si="45"/>
        <v>-0.85674943010289</v>
      </c>
      <c r="CT21" s="163">
        <v>4.512</v>
      </c>
      <c r="CU21" s="402">
        <f t="shared" si="46"/>
        <v>-0.93002503093973</v>
      </c>
      <c r="CV21" s="163">
        <f t="shared" si="47"/>
        <v>639.8444</v>
      </c>
      <c r="CW21" s="402">
        <f t="shared" si="48"/>
        <v>-0.31702563207037</v>
      </c>
      <c r="CX21" s="408">
        <f t="shared" si="49"/>
        <v>-0.611887660745774</v>
      </c>
      <c r="CY21" s="408"/>
      <c r="CZ21" s="477">
        <v>80.8804</v>
      </c>
      <c r="DA21" s="473">
        <v>75.023</v>
      </c>
      <c r="DB21" s="473">
        <v>78.8138</v>
      </c>
      <c r="DC21" s="473">
        <v>71.5948</v>
      </c>
      <c r="DD21" s="448">
        <v>81.0739</v>
      </c>
      <c r="DE21" s="448">
        <v>78.2487</v>
      </c>
      <c r="DF21" s="448">
        <v>80.3367</v>
      </c>
      <c r="DG21" s="448">
        <v>83.904</v>
      </c>
      <c r="DH21" s="448">
        <v>79.3972</v>
      </c>
      <c r="DI21" s="448">
        <v>81.9421</v>
      </c>
      <c r="DJ21" s="448">
        <v>81.155</v>
      </c>
      <c r="DK21" s="448">
        <v>64.4802</v>
      </c>
      <c r="DL21" s="448">
        <v>936.8498</v>
      </c>
      <c r="DM21" s="449">
        <v>-0.0838152061183967</v>
      </c>
      <c r="DN21" s="411"/>
      <c r="DO21" s="412">
        <v>112.8</v>
      </c>
      <c r="DP21" s="87"/>
      <c r="DQ21" s="103">
        <v>77.5388</v>
      </c>
      <c r="DR21" s="104"/>
      <c r="DS21" s="103">
        <v>76.3128</v>
      </c>
      <c r="DT21" s="104" t="e">
        <f t="shared" si="50"/>
        <v>#DIV/0!</v>
      </c>
      <c r="DU21" s="103"/>
      <c r="DV21" s="103">
        <v>88.54</v>
      </c>
      <c r="DW21" s="104" t="e">
        <f t="shared" si="51"/>
        <v>#DIV/0!</v>
      </c>
      <c r="DX21" s="103">
        <v>86.3014</v>
      </c>
      <c r="DY21" s="104" t="e">
        <f t="shared" si="52"/>
        <v>#DIV/0!</v>
      </c>
      <c r="DZ21" s="103">
        <v>86.143</v>
      </c>
      <c r="EA21" s="104" t="e">
        <f t="shared" si="53"/>
        <v>#DIV/0!</v>
      </c>
      <c r="EB21" s="103">
        <v>79.762</v>
      </c>
      <c r="EC21" s="104" t="e">
        <f t="shared" si="54"/>
        <v>#DIV/0!</v>
      </c>
      <c r="ED21" s="103">
        <v>76.3516</v>
      </c>
      <c r="EE21" s="104" t="e">
        <f t="shared" si="55"/>
        <v>#DIV/0!</v>
      </c>
      <c r="EF21" s="103">
        <v>84.5831</v>
      </c>
      <c r="EG21" s="104" t="e">
        <f t="shared" si="56"/>
        <v>#DIV/0!</v>
      </c>
      <c r="EH21" s="103">
        <v>84.8139</v>
      </c>
      <c r="EI21" s="104" t="e">
        <f t="shared" si="57"/>
        <v>#DIV/0!</v>
      </c>
      <c r="EJ21" s="103">
        <v>84.8685</v>
      </c>
      <c r="EK21" s="104" t="e">
        <f t="shared" si="58"/>
        <v>#DIV/0!</v>
      </c>
      <c r="EL21" s="103">
        <v>84.5404</v>
      </c>
      <c r="EM21" s="104" t="e">
        <f t="shared" si="59"/>
        <v>#DIV/0!</v>
      </c>
      <c r="EN21" s="93">
        <f t="shared" si="64"/>
        <v>1022.5555</v>
      </c>
      <c r="EO21" s="104" t="e">
        <f t="shared" si="60"/>
        <v>#DIV/0!</v>
      </c>
      <c r="EP21" s="104"/>
      <c r="FN21" s="95">
        <v>0</v>
      </c>
      <c r="FO21" s="96"/>
      <c r="FP21" s="431"/>
      <c r="JL21" s="399">
        <v>0</v>
      </c>
      <c r="JM21" s="398"/>
      <c r="JN21" s="400"/>
      <c r="JO21" s="311"/>
      <c r="JP21" s="144"/>
      <c r="JQ21" s="144"/>
      <c r="JR21" s="144"/>
      <c r="JS21" s="144"/>
      <c r="JT21" s="144"/>
      <c r="JU21" s="144"/>
      <c r="JV21" s="144"/>
      <c r="JW21" s="144"/>
      <c r="JX21" s="144"/>
      <c r="JY21" s="144"/>
      <c r="JZ21" s="144"/>
      <c r="KA21" s="144"/>
    </row>
    <row r="22" s="286" customFormat="1" ht="28.8" hidden="1" customHeight="1" spans="1:287">
      <c r="A22" s="298" t="s">
        <v>97</v>
      </c>
      <c r="B22" s="164" t="s">
        <v>206</v>
      </c>
      <c r="C22" s="109">
        <v>103.0089</v>
      </c>
      <c r="D22" s="359">
        <f t="shared" ref="D22:D57" si="76">C22/V22-1</f>
        <v>-0.280793181670608</v>
      </c>
      <c r="E22" s="109">
        <v>126.6864</v>
      </c>
      <c r="F22" s="359">
        <f t="shared" ref="F22:F57" si="77">E22/X22-1</f>
        <v>-0.136090865447563</v>
      </c>
      <c r="G22" s="109">
        <v>116.5618</v>
      </c>
      <c r="H22" s="359">
        <f t="shared" ref="H22:H57" si="78">G22/Z22-1</f>
        <v>-0.189586317180004</v>
      </c>
      <c r="I22" s="109">
        <v>121.936</v>
      </c>
      <c r="J22" s="359">
        <f t="shared" ref="J22:J57" si="79">I22/AB22-1</f>
        <v>-0.173723630829238</v>
      </c>
      <c r="K22" s="109">
        <v>120.2889</v>
      </c>
      <c r="L22" s="359">
        <f t="shared" ref="L22:L57" si="80">K22/AD22-1</f>
        <v>-0.164652295230648</v>
      </c>
      <c r="M22" s="109">
        <v>113.3073</v>
      </c>
      <c r="N22" s="359">
        <f t="shared" ref="N22:N57" si="81">M22/AF22-1</f>
        <v>-0.104405519288819</v>
      </c>
      <c r="O22" s="109">
        <v>108.0579</v>
      </c>
      <c r="P22" s="359">
        <f t="shared" ref="P22:P57" si="82">O22/AH22-1</f>
        <v>-0.133977960328591</v>
      </c>
      <c r="Q22" s="127"/>
      <c r="R22" s="127"/>
      <c r="S22" s="109">
        <f t="shared" si="7"/>
        <v>809.8472</v>
      </c>
      <c r="T22" s="359">
        <f t="shared" si="8"/>
        <v>-0.264201433878614</v>
      </c>
      <c r="U22" s="359"/>
      <c r="V22" s="109">
        <v>143.2257</v>
      </c>
      <c r="W22" s="359">
        <f t="shared" ref="W22:W57" si="83">V22/AW22-1</f>
        <v>0.00345682091579813</v>
      </c>
      <c r="X22" s="109">
        <v>146.6432</v>
      </c>
      <c r="Y22" s="359">
        <f t="shared" ref="Y22:Y57" si="84">X22/AY22-1</f>
        <v>-0.0451928292056274</v>
      </c>
      <c r="Z22" s="109">
        <v>143.83</v>
      </c>
      <c r="AA22" s="359">
        <f t="shared" ref="AA22:AA57" si="85">Z22/BA22-1</f>
        <v>0.0243878814123064</v>
      </c>
      <c r="AB22" s="109">
        <v>147.5729</v>
      </c>
      <c r="AC22" s="359">
        <f t="shared" ref="AC22:AC57" si="86">AB22/BC22-1</f>
        <v>0.00614845051274582</v>
      </c>
      <c r="AD22" s="109">
        <v>143.9986</v>
      </c>
      <c r="AE22" s="359">
        <f t="shared" ref="AE22:AE57" si="87">AD22/BE22-1</f>
        <v>-0.0278188295770092</v>
      </c>
      <c r="AF22" s="109">
        <v>126.5163</v>
      </c>
      <c r="AG22" s="359">
        <f t="shared" ref="AG22:AG57" si="88">AF22/BG22-1</f>
        <v>-0.0280791325898009</v>
      </c>
      <c r="AH22" s="109">
        <v>124.775</v>
      </c>
      <c r="AI22" s="359">
        <f t="shared" ref="AI22:AI57" si="89">AH22/BI22-1</f>
        <v>-0.00547179812133602</v>
      </c>
      <c r="AJ22" s="109">
        <v>124.0754</v>
      </c>
      <c r="AK22" s="359">
        <f t="shared" ref="AK22:AK57" si="90">AJ22/BK22-1</f>
        <v>-0.0273966374644903</v>
      </c>
      <c r="AL22" s="109">
        <v>117.619</v>
      </c>
      <c r="AM22" s="359">
        <f t="shared" ref="AM22:AM57" si="91">AL22/BM22-1</f>
        <v>9.94836204895044e-5</v>
      </c>
      <c r="AN22" s="109">
        <v>129.5702</v>
      </c>
      <c r="AO22" s="359">
        <f t="shared" ref="AO22:AO57" si="92">AN22/BO22-1</f>
        <v>0.0401171364191353</v>
      </c>
      <c r="AP22" s="109">
        <v>114.6044</v>
      </c>
      <c r="AQ22" s="359">
        <f t="shared" ref="AQ22:AQ57" si="93">AP22/BQ22-1</f>
        <v>-0.0928078892603185</v>
      </c>
      <c r="AR22" s="109">
        <v>104.8242</v>
      </c>
      <c r="AS22" s="359">
        <f t="shared" ref="AS22:AS57" si="94">AR22/BS22-1</f>
        <v>-0.164800650157759</v>
      </c>
      <c r="AT22" s="107">
        <f t="shared" si="21"/>
        <v>1567.2549</v>
      </c>
      <c r="AU22" s="359">
        <f t="shared" si="22"/>
        <v>-0.0257827218498242</v>
      </c>
      <c r="AV22" s="360"/>
      <c r="AW22" s="450">
        <v>142.7323</v>
      </c>
      <c r="AX22" s="361">
        <v>0.0229616171606517</v>
      </c>
      <c r="AY22" s="108">
        <v>153.5841</v>
      </c>
      <c r="AZ22" s="361">
        <f t="shared" si="65"/>
        <v>0.12162082224194</v>
      </c>
      <c r="BA22" s="108">
        <v>140.4058</v>
      </c>
      <c r="BB22" s="361">
        <f t="shared" si="66"/>
        <v>0.0167179470097489</v>
      </c>
      <c r="BC22" s="108">
        <v>146.6711</v>
      </c>
      <c r="BD22" s="361">
        <f t="shared" si="67"/>
        <v>0.0643364691608153</v>
      </c>
      <c r="BE22" s="362">
        <v>148.1191</v>
      </c>
      <c r="BF22" s="361">
        <f t="shared" si="68"/>
        <v>0.00730388159823092</v>
      </c>
      <c r="BG22" s="108">
        <v>130.1714</v>
      </c>
      <c r="BH22" s="361">
        <f t="shared" si="69"/>
        <v>-0.113247263541959</v>
      </c>
      <c r="BI22" s="108">
        <v>125.4615</v>
      </c>
      <c r="BJ22" s="361">
        <f t="shared" si="70"/>
        <v>-0.144672435138776</v>
      </c>
      <c r="BK22" s="108">
        <v>127.5704</v>
      </c>
      <c r="BL22" s="361">
        <f t="shared" si="71"/>
        <v>-0.138659399838495</v>
      </c>
      <c r="BM22" s="108">
        <v>117.6073</v>
      </c>
      <c r="BN22" s="361">
        <f t="shared" si="72"/>
        <v>-0.192697800787208</v>
      </c>
      <c r="BO22" s="108">
        <v>124.5727</v>
      </c>
      <c r="BP22" s="361">
        <f t="shared" si="73"/>
        <v>-0.193196625967923</v>
      </c>
      <c r="BQ22" s="108">
        <v>126.3287</v>
      </c>
      <c r="BR22" s="361">
        <f t="shared" si="74"/>
        <v>-0.140607642160388</v>
      </c>
      <c r="BS22" s="108">
        <v>125.508</v>
      </c>
      <c r="BT22" s="361">
        <f t="shared" si="75"/>
        <v>-0.115679379168989</v>
      </c>
      <c r="BU22" s="108">
        <f t="shared" si="34"/>
        <v>1608.7324</v>
      </c>
      <c r="BV22" s="361">
        <f t="shared" si="35"/>
        <v>-0.0700952660611551</v>
      </c>
      <c r="BW22" s="364"/>
      <c r="BX22" s="450">
        <v>139.5285</v>
      </c>
      <c r="BY22" s="361">
        <f t="shared" si="36"/>
        <v>-0.257527769175018</v>
      </c>
      <c r="BZ22" s="450">
        <v>136.9305</v>
      </c>
      <c r="CA22" s="361">
        <f t="shared" si="37"/>
        <v>-0.241518840098043</v>
      </c>
      <c r="CB22" s="531">
        <v>138.0971</v>
      </c>
      <c r="CC22" s="361">
        <f t="shared" si="38"/>
        <v>-0.179558152190703</v>
      </c>
      <c r="CD22" s="108">
        <v>137.8052</v>
      </c>
      <c r="CE22" s="361">
        <v>-0.100689597563992</v>
      </c>
      <c r="CF22" s="108">
        <v>147.0451</v>
      </c>
      <c r="CG22" s="361">
        <f t="shared" si="39"/>
        <v>-0.0876154169280436</v>
      </c>
      <c r="CH22" s="108">
        <v>146.7956</v>
      </c>
      <c r="CI22" s="361">
        <f t="shared" si="40"/>
        <v>-0.0984638419734162</v>
      </c>
      <c r="CJ22" s="108">
        <v>146.6824</v>
      </c>
      <c r="CK22" s="361">
        <f t="shared" si="41"/>
        <v>-0.10155155611934</v>
      </c>
      <c r="CL22" s="108">
        <v>148.1068</v>
      </c>
      <c r="CM22" s="361">
        <f t="shared" si="42"/>
        <v>0.101532703829975</v>
      </c>
      <c r="CN22" s="108">
        <f>137.3068+CN24</f>
        <v>145.6794</v>
      </c>
      <c r="CO22" s="361">
        <f t="shared" si="43"/>
        <v>-0.0196224373331035</v>
      </c>
      <c r="CP22" s="108">
        <f>145.8193+CP24</f>
        <v>154.4028</v>
      </c>
      <c r="CQ22" s="361">
        <f t="shared" si="44"/>
        <v>0.209963208068365</v>
      </c>
      <c r="CR22" s="108">
        <v>146.9977</v>
      </c>
      <c r="CS22" s="361">
        <f t="shared" si="45"/>
        <v>0.5147390537782</v>
      </c>
      <c r="CT22" s="108">
        <v>141.9259</v>
      </c>
      <c r="CU22" s="361">
        <f t="shared" si="46"/>
        <v>0.709647809363884</v>
      </c>
      <c r="CV22" s="108">
        <f t="shared" si="47"/>
        <v>1729.997</v>
      </c>
      <c r="CW22" s="361">
        <f t="shared" si="48"/>
        <v>-0.0214876038667257</v>
      </c>
      <c r="CX22" s="365">
        <f t="shared" si="49"/>
        <v>-0.0345025806526225</v>
      </c>
      <c r="CY22" s="365"/>
      <c r="CZ22" s="453">
        <v>187.9242</v>
      </c>
      <c r="DA22" s="450">
        <v>180.5325</v>
      </c>
      <c r="DB22" s="450">
        <v>168.3204</v>
      </c>
      <c r="DC22" s="450">
        <v>153.2343</v>
      </c>
      <c r="DD22" s="108">
        <v>161.1657</v>
      </c>
      <c r="DE22" s="108">
        <v>162.8283</v>
      </c>
      <c r="DF22" s="108">
        <v>163.2619</v>
      </c>
      <c r="DG22" s="108">
        <v>134.4552</v>
      </c>
      <c r="DH22" s="108">
        <v>148.5952</v>
      </c>
      <c r="DI22" s="108">
        <v>127.6095</v>
      </c>
      <c r="DJ22" s="108">
        <v>97.0449</v>
      </c>
      <c r="DK22" s="108">
        <v>83.0147</v>
      </c>
      <c r="DL22" s="108">
        <v>1767.9868</v>
      </c>
      <c r="DM22" s="368">
        <v>-0.230121260290455</v>
      </c>
      <c r="DN22" s="369"/>
      <c r="DO22" s="370">
        <v>215.1658</v>
      </c>
      <c r="DP22" s="371">
        <f>(DO22-DX22)/DX22</f>
        <v>0.114799607271182</v>
      </c>
      <c r="DQ22" s="388">
        <v>216.1841</v>
      </c>
      <c r="DR22" s="532"/>
      <c r="DS22" s="388">
        <v>222.0238</v>
      </c>
      <c r="DT22" s="373">
        <f t="shared" si="50"/>
        <v>17.5019833333333</v>
      </c>
      <c r="DU22" s="374"/>
      <c r="DV22" s="388">
        <v>222.4096</v>
      </c>
      <c r="DW22" s="373">
        <f t="shared" si="51"/>
        <v>4.4246243902439</v>
      </c>
      <c r="DX22" s="388">
        <v>193.0085</v>
      </c>
      <c r="DY22" s="373">
        <f t="shared" si="52"/>
        <v>3.67332929782082</v>
      </c>
      <c r="DZ22" s="388">
        <v>191.5433</v>
      </c>
      <c r="EA22" s="373">
        <f t="shared" si="53"/>
        <v>4.39558591549296</v>
      </c>
      <c r="EB22" s="388">
        <v>196.7099</v>
      </c>
      <c r="EC22" s="373">
        <f t="shared" si="54"/>
        <v>3.73137850085146</v>
      </c>
      <c r="ED22" s="388">
        <v>163.6623</v>
      </c>
      <c r="EE22" s="373">
        <f t="shared" si="55"/>
        <v>-0.272763588389798</v>
      </c>
      <c r="EF22" s="388">
        <v>162.8224</v>
      </c>
      <c r="EG22" s="373">
        <f t="shared" si="56"/>
        <v>-0.247152473189276</v>
      </c>
      <c r="EH22" s="388">
        <v>173.8615</v>
      </c>
      <c r="EI22" s="373">
        <f t="shared" si="57"/>
        <v>-0.302948271638547</v>
      </c>
      <c r="EJ22" s="388">
        <v>169.8856</v>
      </c>
      <c r="EK22" s="373">
        <f t="shared" si="58"/>
        <v>-0.287803086643855</v>
      </c>
      <c r="EL22" s="388">
        <v>169.1716</v>
      </c>
      <c r="EM22" s="373">
        <f t="shared" si="59"/>
        <v>-0.264852622096452</v>
      </c>
      <c r="EN22" s="372">
        <f t="shared" si="64"/>
        <v>2296.4484</v>
      </c>
      <c r="EO22" s="373">
        <f t="shared" si="60"/>
        <v>0.0973202278864939</v>
      </c>
      <c r="EP22" s="533">
        <v>762</v>
      </c>
      <c r="EQ22" s="373">
        <f>(EP22-FP22)/FP22</f>
        <v>-0.0522388059701493</v>
      </c>
      <c r="ER22" s="388">
        <v>0</v>
      </c>
      <c r="ES22" s="373">
        <f>(ER22-FQ22)/FQ22</f>
        <v>-1</v>
      </c>
      <c r="ET22" s="388">
        <v>12</v>
      </c>
      <c r="EU22" s="373">
        <f>(ET22-FR22)/FR22</f>
        <v>-0.985576923076923</v>
      </c>
      <c r="EV22" s="388">
        <v>41</v>
      </c>
      <c r="EW22" s="373">
        <f>(EV22-FS22)/FS22</f>
        <v>-0.946959896507115</v>
      </c>
      <c r="EX22" s="388">
        <v>41.3</v>
      </c>
      <c r="EY22" s="373">
        <f>(EX22-FT22)/FT22</f>
        <v>-0.945079787234043</v>
      </c>
      <c r="EZ22" s="388">
        <v>35.5</v>
      </c>
      <c r="FA22" s="373">
        <f>(EZ22-FU22)/FU22</f>
        <v>-0.946975354742345</v>
      </c>
      <c r="FB22" s="388">
        <v>41.5756</v>
      </c>
      <c r="FC22" s="373">
        <f>(FB22-FV22)/FV22</f>
        <v>-0.940775498575499</v>
      </c>
      <c r="FD22" s="388">
        <v>225.0469</v>
      </c>
      <c r="FE22" s="373">
        <f>(FD22-FW22)/FW22</f>
        <v>-0.715490644753477</v>
      </c>
      <c r="FF22" s="388">
        <v>216.2754</v>
      </c>
      <c r="FG22" s="373">
        <f>(FF22-FX22)/FX22</f>
        <v>-0.738165375302663</v>
      </c>
      <c r="FH22" s="388">
        <v>249.4241</v>
      </c>
      <c r="FI22" s="373">
        <f>(FH22-FY22)/FY22</f>
        <v>-0.703066547619048</v>
      </c>
      <c r="FJ22" s="388">
        <v>238.5374</v>
      </c>
      <c r="FK22" s="373">
        <f>(FJ22-GA22)/GA22</f>
        <v>-0.678953701211305</v>
      </c>
      <c r="FL22" s="388">
        <v>230.1193</v>
      </c>
      <c r="FM22" s="456">
        <f>(FL22-GC22)/GC22</f>
        <v>-0.664059416058394</v>
      </c>
      <c r="FN22" s="359">
        <v>2092.7787</v>
      </c>
      <c r="FO22" s="358">
        <f>(FN22-(FP22+FQ22+FR22+FS22+FT22+FU22+FV22+FW22+FX22+FY22+GA22+GC22))/(FP22+FQ22+FR22+FS22+FT22+FU22+FV22+FW22+FX22+FY22+GA22+GC22)</f>
        <v>-0.781261698458322</v>
      </c>
      <c r="FP22" s="512">
        <v>804</v>
      </c>
      <c r="FQ22" s="512">
        <v>1150</v>
      </c>
      <c r="FR22" s="512">
        <v>832</v>
      </c>
      <c r="FS22" s="512">
        <v>773</v>
      </c>
      <c r="FT22" s="512">
        <v>752</v>
      </c>
      <c r="FU22" s="512">
        <v>669.5</v>
      </c>
      <c r="FV22" s="535">
        <v>702</v>
      </c>
      <c r="FW22" s="459">
        <v>791</v>
      </c>
      <c r="FX22" s="459">
        <v>826</v>
      </c>
      <c r="FY22" s="459">
        <v>840</v>
      </c>
      <c r="FZ22" s="368">
        <f>(FY22-HA22)/HA22</f>
        <v>-0.0889370932754881</v>
      </c>
      <c r="GA22" s="459">
        <v>743</v>
      </c>
      <c r="GB22" s="368">
        <f>(GA22-HC22)/HC22</f>
        <v>-0.0412903225806452</v>
      </c>
      <c r="GC22" s="459">
        <v>685</v>
      </c>
      <c r="GD22" s="368">
        <f>(GC22-HE22)/HE22</f>
        <v>-0.0805369127516778</v>
      </c>
      <c r="GE22" s="455">
        <f>FP22+FQ22+FR22+FS22+FT22+FU22+FV22+FW22+FX22+FY22+GA22+GC22</f>
        <v>9567.5</v>
      </c>
      <c r="GF22" s="460">
        <f>(GE22-HG22)/HG22</f>
        <v>-0.100714352852712</v>
      </c>
      <c r="GG22" s="317"/>
      <c r="GH22" s="536"/>
      <c r="GI22" s="379">
        <v>864</v>
      </c>
      <c r="GJ22" s="376">
        <f>(GI22-HL22)/HL22</f>
        <v>-0.0577971646673937</v>
      </c>
      <c r="GK22" s="375">
        <v>1240</v>
      </c>
      <c r="GL22" s="376">
        <f>(GK22-HN22)/HN22</f>
        <v>-0.0476190476190476</v>
      </c>
      <c r="GM22" s="533">
        <v>945</v>
      </c>
      <c r="GN22" s="376">
        <f>(GM22-HP22)/HP22</f>
        <v>-0.0492957746478873</v>
      </c>
      <c r="GO22" s="533">
        <v>863</v>
      </c>
      <c r="GP22" s="376">
        <f>(GO22-HR22)/HR22</f>
        <v>-0.0474613686534216</v>
      </c>
      <c r="GQ22" s="533">
        <v>884</v>
      </c>
      <c r="GR22" s="376">
        <f>(GQ22-HT22)/HT22</f>
        <v>-0.0443243243243243</v>
      </c>
      <c r="GS22" s="375">
        <v>795</v>
      </c>
      <c r="GT22" s="376">
        <f>(GS22-HW22)/HW22</f>
        <v>-0.0444711538461538</v>
      </c>
      <c r="GU22" s="375">
        <v>807</v>
      </c>
      <c r="GV22" s="376">
        <f>(GU22-HY22)/HY22</f>
        <v>-0.0312124849939976</v>
      </c>
      <c r="GW22" s="375">
        <v>890</v>
      </c>
      <c r="GX22" s="376">
        <f>(GW22-IA22)/IA22</f>
        <v>-0.0315560391730141</v>
      </c>
      <c r="GY22" s="375">
        <v>909</v>
      </c>
      <c r="GZ22" s="376">
        <f>(GY22-IC22)/IC22</f>
        <v>-0.0172972972972973</v>
      </c>
      <c r="HA22" s="375">
        <v>922</v>
      </c>
      <c r="HB22" s="376">
        <f>(HA22-IE22)/IE22</f>
        <v>-0.046535677352637</v>
      </c>
      <c r="HC22" s="375">
        <v>775</v>
      </c>
      <c r="HD22" s="376">
        <f>(HC22-IG22)/IG22</f>
        <v>-0.0455665024630542</v>
      </c>
      <c r="HE22" s="375">
        <v>745</v>
      </c>
      <c r="HF22" s="376">
        <f>(HE22-II22)/II22</f>
        <v>-0.0485312899106003</v>
      </c>
      <c r="HG22" s="375">
        <f>GI22+GK22+GM22+GO22+GQ22+GS22+GU22+GW22+GY22+HA22+HC22+HE22</f>
        <v>10639</v>
      </c>
      <c r="HH22" s="375">
        <f>HE22+HC22+HA22+GY22+GW22+GU22+GS22+GQ22+GO22+GM22+GK22+GI22</f>
        <v>10639</v>
      </c>
      <c r="HI22" s="377"/>
      <c r="HJ22" s="369"/>
      <c r="HK22" s="485"/>
      <c r="HL22" s="379">
        <v>917</v>
      </c>
      <c r="HM22" s="380">
        <f>(HL22-IN22)/IN22</f>
        <v>0.0211581291759465</v>
      </c>
      <c r="HN22" s="462">
        <v>1302</v>
      </c>
      <c r="HO22" s="380">
        <f>(HN22-IP22)/IP22</f>
        <v>0.0203761755485893</v>
      </c>
      <c r="HP22" s="462">
        <v>994</v>
      </c>
      <c r="HQ22" s="466">
        <f>(HP22-IR22)/IR22</f>
        <v>0.0132517838939857</v>
      </c>
      <c r="HR22" s="464">
        <v>906</v>
      </c>
      <c r="HS22" s="465">
        <f>(HR22-IT22)/IT22</f>
        <v>0.0100334448160535</v>
      </c>
      <c r="HT22" s="464">
        <v>925</v>
      </c>
      <c r="HU22" s="465">
        <f>(HT22-IV22)/IV22</f>
        <v>0.0109289617486339</v>
      </c>
      <c r="HV22" s="466"/>
      <c r="HW22" s="464">
        <v>832</v>
      </c>
      <c r="HX22" s="465">
        <f>(HW22-IX22)/IX22</f>
        <v>0.0109356014580802</v>
      </c>
      <c r="HY22" s="464">
        <v>833</v>
      </c>
      <c r="HZ22" s="465">
        <f>(HY22-IZ22)/IZ22</f>
        <v>0.0109223300970874</v>
      </c>
      <c r="IA22" s="464">
        <v>919</v>
      </c>
      <c r="IB22" s="390">
        <f>(IA22-JB22)/JB22</f>
        <v>0.011001100110011</v>
      </c>
      <c r="IC22" s="464">
        <v>925</v>
      </c>
      <c r="ID22" s="390">
        <f>(IC22-JD22)/JD22</f>
        <v>0.00982532751091703</v>
      </c>
      <c r="IE22" s="464">
        <v>967</v>
      </c>
      <c r="IF22" s="390">
        <f>(IE22-JF22)/JF22</f>
        <v>0.0104493207941484</v>
      </c>
      <c r="IG22" s="464">
        <v>812</v>
      </c>
      <c r="IH22" s="390">
        <f>(IG22-JH22)/JH22</f>
        <v>0.0112079701120797</v>
      </c>
      <c r="II22" s="464">
        <v>783</v>
      </c>
      <c r="IJ22" s="309">
        <f>(II22-JJ22)/JJ22</f>
        <v>0.0103225806451613</v>
      </c>
      <c r="IK22" s="391">
        <f>HL22+HN22+HP22+HR22+HT22+HW22+HY22+IA22+IC22+IE22+IG22+II22</f>
        <v>11115</v>
      </c>
      <c r="IL22" s="104">
        <f>IK22/JL22-1</f>
        <v>0.0128485511208312</v>
      </c>
      <c r="IM22" s="318"/>
      <c r="IN22" s="537">
        <v>898</v>
      </c>
      <c r="IO22" s="300">
        <f>IN22/JP22-1</f>
        <v>0.0387507229612494</v>
      </c>
      <c r="IP22" s="414">
        <v>1276</v>
      </c>
      <c r="IQ22" s="300">
        <f>IP22/JQ22-1</f>
        <v>0.0366735453260323</v>
      </c>
      <c r="IR22" s="538">
        <v>981</v>
      </c>
      <c r="IS22" s="394">
        <f>(IR22-JR22)/JR22</f>
        <v>0.0347773804626436</v>
      </c>
      <c r="IT22" s="539">
        <v>897</v>
      </c>
      <c r="IU22" s="300">
        <f>(IT22-JS22)/JS22</f>
        <v>0.020789093698051</v>
      </c>
      <c r="IV22" s="539">
        <v>915</v>
      </c>
      <c r="IW22" s="300">
        <f>(IV22-JT22)/JT22</f>
        <v>0.0216749706211158</v>
      </c>
      <c r="IX22" s="539">
        <v>823</v>
      </c>
      <c r="IY22" s="471">
        <f>(IX22-JU22)/JU22</f>
        <v>0.0204334672419779</v>
      </c>
      <c r="IZ22" s="540">
        <v>824</v>
      </c>
      <c r="JA22" s="471">
        <f>(IZ22-JV22)/JV22</f>
        <v>0.0146908517738618</v>
      </c>
      <c r="JB22" s="414">
        <v>909</v>
      </c>
      <c r="JC22" s="471">
        <f>(JB22-JW22)/JW22</f>
        <v>0.0206032781406317</v>
      </c>
      <c r="JD22" s="414">
        <v>916</v>
      </c>
      <c r="JE22" s="469">
        <f>(JD22-JX22)/JX22</f>
        <v>0.0215294229904736</v>
      </c>
      <c r="JF22" s="414">
        <v>957</v>
      </c>
      <c r="JG22" s="471">
        <f>(JF22-JY22)/JY22</f>
        <v>0.00663582038230219</v>
      </c>
      <c r="JH22" s="374">
        <v>803</v>
      </c>
      <c r="JI22" s="380">
        <f>(JH22-JZ22)/JZ22</f>
        <v>-0.0357434940620441</v>
      </c>
      <c r="JJ22" s="472">
        <v>775</v>
      </c>
      <c r="JK22" s="380">
        <f>(JJ22-KA22)/KA22</f>
        <v>-0.0969997087095835</v>
      </c>
      <c r="JL22" s="399">
        <f t="shared" si="62"/>
        <v>10974</v>
      </c>
      <c r="JM22" s="398">
        <f>JL22/JO22-1</f>
        <v>0.0099995070552712</v>
      </c>
      <c r="JN22" s="400"/>
      <c r="JO22" s="528">
        <v>10865.3518376415</v>
      </c>
      <c r="JP22" s="388">
        <v>864.5</v>
      </c>
      <c r="JQ22" s="388">
        <v>1230.86</v>
      </c>
      <c r="JR22" s="388">
        <v>948.03</v>
      </c>
      <c r="JS22" s="388">
        <v>878.731958969511</v>
      </c>
      <c r="JT22" s="388">
        <v>895.588153093088</v>
      </c>
      <c r="JU22" s="388">
        <v>806.52</v>
      </c>
      <c r="JV22" s="388">
        <v>812.07</v>
      </c>
      <c r="JW22" s="388">
        <v>890.649696575584</v>
      </c>
      <c r="JX22" s="388">
        <v>896.694680921141</v>
      </c>
      <c r="JY22" s="388">
        <v>950.691382745101</v>
      </c>
      <c r="JZ22" s="388">
        <v>832.765965337099</v>
      </c>
      <c r="KA22" s="388">
        <v>858.25</v>
      </c>
    </row>
    <row r="23" ht="28.8" hidden="1" customHeight="1" spans="1:287">
      <c r="A23" s="401"/>
      <c r="B23" s="141" t="s">
        <v>209</v>
      </c>
      <c r="C23" s="163">
        <v>10120.8517</v>
      </c>
      <c r="D23" s="359">
        <f t="shared" si="76"/>
        <v>-0.33648557238818</v>
      </c>
      <c r="E23" s="109">
        <v>16615.7551</v>
      </c>
      <c r="F23" s="359">
        <f t="shared" si="77"/>
        <v>0.0435188242178062</v>
      </c>
      <c r="G23" s="109">
        <v>15869.8464</v>
      </c>
      <c r="H23" s="359">
        <f t="shared" si="78"/>
        <v>0.122628715685888</v>
      </c>
      <c r="I23" s="109">
        <v>14345.6508</v>
      </c>
      <c r="J23" s="359">
        <f t="shared" si="79"/>
        <v>-0.0648356664435271</v>
      </c>
      <c r="K23" s="109">
        <v>14014.5296</v>
      </c>
      <c r="L23" s="359">
        <f t="shared" si="80"/>
        <v>-0.035094332316707</v>
      </c>
      <c r="M23" s="109">
        <v>11627.7753</v>
      </c>
      <c r="N23" s="359">
        <f t="shared" si="81"/>
        <v>-0.111133791855893</v>
      </c>
      <c r="O23" s="109">
        <v>12669.5596</v>
      </c>
      <c r="P23" s="359">
        <f t="shared" si="82"/>
        <v>-0.0779188830072738</v>
      </c>
      <c r="Q23" s="127"/>
      <c r="R23" s="127"/>
      <c r="S23" s="109">
        <f t="shared" si="7"/>
        <v>95263.9685</v>
      </c>
      <c r="T23" s="359">
        <f t="shared" si="8"/>
        <v>-0.177063599015425</v>
      </c>
      <c r="U23" s="359"/>
      <c r="V23" s="163">
        <v>15253.4011</v>
      </c>
      <c r="W23" s="359">
        <f t="shared" si="83"/>
        <v>0.366097192953212</v>
      </c>
      <c r="X23" s="163">
        <v>15922.813</v>
      </c>
      <c r="Y23" s="402">
        <f t="shared" si="84"/>
        <v>0.169993199419713</v>
      </c>
      <c r="Z23" s="163">
        <v>14136.3268</v>
      </c>
      <c r="AA23" s="402">
        <f t="shared" si="85"/>
        <v>0.116004554797501</v>
      </c>
      <c r="AB23" s="163">
        <v>15340.245864</v>
      </c>
      <c r="AC23" s="402">
        <f t="shared" si="86"/>
        <v>0.137657196749319</v>
      </c>
      <c r="AD23" s="163">
        <v>14524.2484</v>
      </c>
      <c r="AE23" s="402">
        <f t="shared" si="87"/>
        <v>0.13551530336932</v>
      </c>
      <c r="AF23" s="163">
        <v>13081.581</v>
      </c>
      <c r="AG23" s="402">
        <f t="shared" si="88"/>
        <v>0.149055578608552</v>
      </c>
      <c r="AH23" s="163">
        <v>13740.179</v>
      </c>
      <c r="AI23" s="402">
        <f t="shared" si="89"/>
        <v>0.0949947163383904</v>
      </c>
      <c r="AJ23" s="163">
        <v>13762.2386</v>
      </c>
      <c r="AK23" s="402">
        <f t="shared" si="90"/>
        <v>0.0529207717802074</v>
      </c>
      <c r="AL23" s="163">
        <v>12615.6868</v>
      </c>
      <c r="AM23" s="402">
        <f t="shared" si="91"/>
        <v>0.151832946973992</v>
      </c>
      <c r="AN23" s="163">
        <v>14007.3104</v>
      </c>
      <c r="AO23" s="402">
        <f t="shared" si="92"/>
        <v>0.113111329159723</v>
      </c>
      <c r="AP23" s="163">
        <v>12472.8922</v>
      </c>
      <c r="AQ23" s="402">
        <f t="shared" si="93"/>
        <v>-0.00174460439928115</v>
      </c>
      <c r="AR23" s="163">
        <v>10530.509172</v>
      </c>
      <c r="AS23" s="402">
        <f t="shared" si="94"/>
        <v>-0.0313438065622217</v>
      </c>
      <c r="AT23" s="107">
        <f t="shared" si="21"/>
        <v>165387.432336</v>
      </c>
      <c r="AU23" s="359">
        <f t="shared" si="22"/>
        <v>0.120338146197508</v>
      </c>
      <c r="AV23" s="360"/>
      <c r="AW23" s="488">
        <v>11165.6778</v>
      </c>
      <c r="AX23" s="404">
        <v>0.0794309720710105</v>
      </c>
      <c r="AY23" s="403">
        <v>13609.320984</v>
      </c>
      <c r="AZ23" s="405">
        <f t="shared" si="65"/>
        <v>0.0584729213134825</v>
      </c>
      <c r="BA23" s="403">
        <v>12666.9078</v>
      </c>
      <c r="BB23" s="405">
        <f t="shared" si="66"/>
        <v>0.109756729426479</v>
      </c>
      <c r="BC23" s="403">
        <v>13484.067</v>
      </c>
      <c r="BD23" s="405">
        <f t="shared" si="67"/>
        <v>0.167908052174985</v>
      </c>
      <c r="BE23" s="406">
        <v>12790.887412</v>
      </c>
      <c r="BF23" s="405">
        <f t="shared" si="68"/>
        <v>0.114466056363848</v>
      </c>
      <c r="BG23" s="403">
        <v>11384.6373</v>
      </c>
      <c r="BH23" s="405">
        <f t="shared" si="69"/>
        <v>-0.00153567565295354</v>
      </c>
      <c r="BI23" s="403">
        <v>12548.169224</v>
      </c>
      <c r="BJ23" s="405">
        <f t="shared" si="70"/>
        <v>-0.126266077274192</v>
      </c>
      <c r="BK23" s="163">
        <v>13070.53576</v>
      </c>
      <c r="BL23" s="402">
        <f t="shared" si="71"/>
        <v>-0.0491302302595723</v>
      </c>
      <c r="BM23" s="163">
        <v>10952.70528</v>
      </c>
      <c r="BN23" s="402">
        <f t="shared" si="72"/>
        <v>-0.0992486604016449</v>
      </c>
      <c r="BO23" s="163">
        <v>12583.925824</v>
      </c>
      <c r="BP23" s="402">
        <f t="shared" si="73"/>
        <v>-0.0525062134658109</v>
      </c>
      <c r="BQ23" s="163">
        <v>12494.690492</v>
      </c>
      <c r="BR23" s="402">
        <f t="shared" si="74"/>
        <v>0.00113732594331717</v>
      </c>
      <c r="BS23" s="163">
        <v>10871.255708</v>
      </c>
      <c r="BT23" s="402">
        <f t="shared" si="75"/>
        <v>0.0353697756509044</v>
      </c>
      <c r="BU23" s="109">
        <f t="shared" si="34"/>
        <v>147622.780584</v>
      </c>
      <c r="BV23" s="359">
        <f t="shared" si="35"/>
        <v>0.0141083388257099</v>
      </c>
      <c r="BW23" s="429"/>
      <c r="BX23" s="93">
        <v>10344.0406</v>
      </c>
      <c r="BY23" s="402">
        <f t="shared" si="36"/>
        <v>-0.230635226388192</v>
      </c>
      <c r="BZ23" s="93">
        <v>12857.5051</v>
      </c>
      <c r="CA23" s="359">
        <f t="shared" si="37"/>
        <v>-0.161110499655568</v>
      </c>
      <c r="CB23" s="109">
        <v>11414.1302</v>
      </c>
      <c r="CC23" s="359">
        <f t="shared" si="38"/>
        <v>0.135209057094616</v>
      </c>
      <c r="CD23" s="109">
        <v>11545.4868</v>
      </c>
      <c r="CE23" s="359">
        <v>0.225719598180512</v>
      </c>
      <c r="CF23" s="163">
        <v>11477.144</v>
      </c>
      <c r="CG23" s="359">
        <f t="shared" si="39"/>
        <v>0.0756298098087866</v>
      </c>
      <c r="CH23" s="163">
        <v>11402.1473</v>
      </c>
      <c r="CI23" s="359">
        <f t="shared" si="40"/>
        <v>-0.00215327151314271</v>
      </c>
      <c r="CJ23" s="163">
        <v>14361.5452</v>
      </c>
      <c r="CK23" s="359">
        <f t="shared" si="41"/>
        <v>0.141881704608111</v>
      </c>
      <c r="CL23" s="109">
        <v>13745.8737</v>
      </c>
      <c r="CM23" s="359">
        <f t="shared" si="42"/>
        <v>0.419018645958646</v>
      </c>
      <c r="CN23" s="109">
        <f>11938.0841+CN25</f>
        <v>12159.5215</v>
      </c>
      <c r="CO23" s="359">
        <f t="shared" si="43"/>
        <v>0.197500664584857</v>
      </c>
      <c r="CP23" s="109">
        <f>13053.922+CP25</f>
        <v>13281.2753</v>
      </c>
      <c r="CQ23" s="359">
        <f t="shared" si="44"/>
        <v>0.812760961158597</v>
      </c>
      <c r="CR23" s="109">
        <v>12480.4961</v>
      </c>
      <c r="CS23" s="359">
        <f t="shared" si="45"/>
        <v>1.53078171056483</v>
      </c>
      <c r="CT23" s="109">
        <v>10499.8774</v>
      </c>
      <c r="CU23" s="359">
        <f t="shared" si="46"/>
        <v>1.29122619238167</v>
      </c>
      <c r="CV23" s="109">
        <f t="shared" si="47"/>
        <v>145569.0432</v>
      </c>
      <c r="CW23" s="359">
        <f t="shared" si="48"/>
        <v>0.217118508000257</v>
      </c>
      <c r="CX23" s="408">
        <f t="shared" si="49"/>
        <v>-0.158697113009795</v>
      </c>
      <c r="CY23" s="408"/>
      <c r="CZ23" s="490">
        <v>13444.9106</v>
      </c>
      <c r="DA23" s="93">
        <v>15326.8161</v>
      </c>
      <c r="DB23" s="93">
        <v>10054.6504</v>
      </c>
      <c r="DC23" s="107">
        <v>9419.354</v>
      </c>
      <c r="DD23" s="163">
        <v>10670.1617</v>
      </c>
      <c r="DE23" s="163">
        <v>11426.7522</v>
      </c>
      <c r="DF23" s="109">
        <v>12577.0867</v>
      </c>
      <c r="DG23" s="109">
        <v>9686.8873</v>
      </c>
      <c r="DH23" s="109">
        <v>10154.0833</v>
      </c>
      <c r="DI23" s="109">
        <v>7326.5453</v>
      </c>
      <c r="DJ23" s="109">
        <v>4931.4787</v>
      </c>
      <c r="DK23" s="109">
        <v>4582.6455</v>
      </c>
      <c r="DL23" s="109">
        <v>119601.3718</v>
      </c>
      <c r="DM23" s="410">
        <v>-0.264840484170258</v>
      </c>
      <c r="DN23" s="411"/>
      <c r="DO23" s="412">
        <v>13714.2232</v>
      </c>
      <c r="DP23" s="87">
        <f>(DO23-DX23)/DX23</f>
        <v>-0.144122912384126</v>
      </c>
      <c r="DQ23" s="424">
        <v>14269.0026</v>
      </c>
      <c r="DR23" s="304"/>
      <c r="DS23" s="424">
        <v>16754.9696</v>
      </c>
      <c r="DT23" s="104">
        <f t="shared" si="50"/>
        <v>4.40482890322581</v>
      </c>
      <c r="DU23" s="103"/>
      <c r="DV23" s="424">
        <v>16683.606</v>
      </c>
      <c r="DW23" s="104">
        <f t="shared" si="51"/>
        <v>1.71278146341463</v>
      </c>
      <c r="DX23" s="424">
        <v>16023.5896</v>
      </c>
      <c r="DY23" s="104">
        <f t="shared" si="52"/>
        <v>1.58653585149314</v>
      </c>
      <c r="DZ23" s="424">
        <v>12515.6255</v>
      </c>
      <c r="EA23" s="104">
        <f t="shared" si="53"/>
        <v>1.35035220657277</v>
      </c>
      <c r="EB23" s="424">
        <v>15539.8946</v>
      </c>
      <c r="EC23" s="104">
        <f t="shared" si="54"/>
        <v>2.11478659758769</v>
      </c>
      <c r="ED23" s="424">
        <v>8724.4377</v>
      </c>
      <c r="EE23" s="104">
        <f t="shared" si="55"/>
        <v>-0.475175699491057</v>
      </c>
      <c r="EF23" s="424">
        <v>12040.6236</v>
      </c>
      <c r="EG23" s="104">
        <f t="shared" si="56"/>
        <v>-0.333282985147239</v>
      </c>
      <c r="EH23" s="424">
        <v>13418.4503</v>
      </c>
      <c r="EI23" s="104">
        <f t="shared" si="57"/>
        <v>-0.337513835562687</v>
      </c>
      <c r="EJ23" s="424">
        <v>11625.881</v>
      </c>
      <c r="EK23" s="104">
        <f t="shared" si="58"/>
        <v>-0.391773860776229</v>
      </c>
      <c r="EL23" s="424">
        <v>11377.3433</v>
      </c>
      <c r="EM23" s="104">
        <f t="shared" si="59"/>
        <v>-0.381227216685792</v>
      </c>
      <c r="EN23" s="93">
        <f t="shared" si="64"/>
        <v>162687.647</v>
      </c>
      <c r="EO23" s="104">
        <f t="shared" si="60"/>
        <v>0.0514073309409839</v>
      </c>
      <c r="EP23" s="541">
        <v>36535</v>
      </c>
      <c r="EQ23" s="104">
        <f>(EP23-FP23)/FP23</f>
        <v>-0.0519008693395614</v>
      </c>
      <c r="ER23" s="424">
        <v>0</v>
      </c>
      <c r="ES23" s="104">
        <f>(ER23-FQ23)/FQ23</f>
        <v>-1</v>
      </c>
      <c r="ET23" s="424">
        <v>3100</v>
      </c>
      <c r="EU23" s="104">
        <f>(ET23-FR23)/FR23</f>
        <v>-0.920030955759061</v>
      </c>
      <c r="EV23" s="424">
        <v>6150</v>
      </c>
      <c r="EW23" s="104">
        <f>(EV23-FS23)/FS23</f>
        <v>-0.831020744607776</v>
      </c>
      <c r="EX23" s="424">
        <v>6195</v>
      </c>
      <c r="EY23" s="104">
        <f>(EX23-FT23)/FT23</f>
        <v>-0.841515515874031</v>
      </c>
      <c r="EZ23" s="424">
        <v>5325</v>
      </c>
      <c r="FA23" s="104">
        <f>(EZ23-FU23)/FU23</f>
        <v>-0.845679012345679</v>
      </c>
      <c r="FB23" s="424">
        <v>4989.072</v>
      </c>
      <c r="FC23" s="104">
        <f>(FB23-FV23)/FV23</f>
        <v>-0.875587341961547</v>
      </c>
      <c r="FD23" s="424">
        <v>16623.5399</v>
      </c>
      <c r="FE23" s="104">
        <f>(FD23-FW23)/FW23</f>
        <v>-0.586118762604257</v>
      </c>
      <c r="FF23" s="424">
        <v>18059.5715</v>
      </c>
      <c r="FG23" s="104">
        <f>(FF23-FX23)/FX23</f>
        <v>-0.57526877939793</v>
      </c>
      <c r="FH23" s="424">
        <v>20254.6876</v>
      </c>
      <c r="FI23" s="104">
        <f>(FH23-FY23)/FY23</f>
        <v>-0.498906815764083</v>
      </c>
      <c r="FJ23" s="424">
        <v>19114.4054</v>
      </c>
      <c r="FK23" s="104">
        <f>(FJ23-GA23)/GA23</f>
        <v>-0.480713809122769</v>
      </c>
      <c r="FL23" s="424">
        <v>18386.9485</v>
      </c>
      <c r="FM23" s="456">
        <f>(FL23-GC23)/GC23</f>
        <v>-0.508225721468881</v>
      </c>
      <c r="FN23" s="95">
        <v>154733.2249</v>
      </c>
      <c r="FO23" s="96">
        <f>(FN23-(FP23+FQ23+FR23+FS23+FT23+FU23+FV23+FW23+FX23+FY23+GA23+GC23))/(FP23+FQ23+FR23+FS23+FT23+FU23+FV23+FW23+FX23+FY23+GA23+GC23)</f>
        <v>-0.672143418850142</v>
      </c>
      <c r="FP23" s="518">
        <v>38535</v>
      </c>
      <c r="FQ23" s="518">
        <v>47259</v>
      </c>
      <c r="FR23" s="518">
        <v>38765</v>
      </c>
      <c r="FS23" s="518">
        <v>36395</v>
      </c>
      <c r="FT23" s="518">
        <v>39089</v>
      </c>
      <c r="FU23" s="518">
        <v>34506</v>
      </c>
      <c r="FV23" s="515">
        <v>40101</v>
      </c>
      <c r="FW23" s="480">
        <v>40165</v>
      </c>
      <c r="FX23" s="480">
        <v>42520</v>
      </c>
      <c r="FY23" s="480">
        <v>40421</v>
      </c>
      <c r="FZ23" s="491">
        <f>(FY23-HA23)/HA23</f>
        <v>-0.0796885316818834</v>
      </c>
      <c r="GA23" s="480">
        <v>36809</v>
      </c>
      <c r="GB23" s="491">
        <f>(GA23-HC23)/HC23</f>
        <v>0.0210824156009875</v>
      </c>
      <c r="GC23" s="480">
        <v>37389</v>
      </c>
      <c r="GD23" s="491">
        <f>(GC23-HE23)/HE23</f>
        <v>-0.0710576660289697</v>
      </c>
      <c r="GE23" s="492">
        <f>FP23+FQ23+FR23+FS23+FT23+FU23+FV23+FW23+FX23+FY23+GA23+GC23</f>
        <v>471954</v>
      </c>
      <c r="GF23" s="481">
        <f>(GE23-HG23)/HG23</f>
        <v>-0.0816210967524747</v>
      </c>
      <c r="GG23" s="415"/>
      <c r="GH23" s="318"/>
      <c r="GI23" s="417">
        <v>41007</v>
      </c>
      <c r="GJ23" s="104">
        <f>(GI23-HL23)/HL23</f>
        <v>-0.0594724770642202</v>
      </c>
      <c r="GK23" s="103">
        <v>49390</v>
      </c>
      <c r="GL23" s="104">
        <f>(GK23-HN23)/HN23</f>
        <v>-0.0566866572443562</v>
      </c>
      <c r="GM23" s="424">
        <v>42379</v>
      </c>
      <c r="GN23" s="104">
        <f>(GM23-HP23)/HP23</f>
        <v>-0.0501176734282192</v>
      </c>
      <c r="GO23" s="424">
        <v>39975</v>
      </c>
      <c r="GP23" s="104">
        <f>(GO23-HR23)/HR23</f>
        <v>-0.0471479989512073</v>
      </c>
      <c r="GQ23" s="424">
        <v>45531</v>
      </c>
      <c r="GR23" s="104">
        <f>(GQ23-HT23)/HT23</f>
        <v>-0.0434864813764417</v>
      </c>
      <c r="GS23" s="103">
        <v>39306</v>
      </c>
      <c r="GT23" s="104">
        <f>(GS23-HW23)/HW23</f>
        <v>-0.0484882229054201</v>
      </c>
      <c r="GU23" s="103">
        <v>44406</v>
      </c>
      <c r="GV23" s="104">
        <f>(GU23-HY23)/HY23</f>
        <v>-0.0354280252840107</v>
      </c>
      <c r="GW23" s="103">
        <v>44596</v>
      </c>
      <c r="GX23" s="104">
        <f>(GW23-IA23)/IA23</f>
        <v>-0.0314902488815532</v>
      </c>
      <c r="GY23" s="103">
        <v>47090</v>
      </c>
      <c r="GZ23" s="104">
        <f>(GY23-IC23)/IC23</f>
        <v>-0.0218113834648941</v>
      </c>
      <c r="HA23" s="103">
        <v>43921</v>
      </c>
      <c r="HB23" s="104">
        <f>(HA23-IE23)/IE23</f>
        <v>-0.0452164083389492</v>
      </c>
      <c r="HC23" s="103">
        <v>36049</v>
      </c>
      <c r="HD23" s="104">
        <f>(HC23-IG23)/IG23</f>
        <v>-0.0475573991386827</v>
      </c>
      <c r="HE23" s="103">
        <v>40249</v>
      </c>
      <c r="HF23" s="104">
        <f>(HE23-II23)/II23</f>
        <v>-0.0473158492709714</v>
      </c>
      <c r="HG23" s="414">
        <f>GI23+GK23+GM23+GO23+GQ23+GS23+GU23+GW23+GY23+HA23+HC23+HE23</f>
        <v>513899</v>
      </c>
      <c r="HH23" s="103">
        <f>HE23+HC23+HA23+GY23+GW23+GU23+GS23+GQ23+GO23+GM23+GK23+GI23</f>
        <v>513899</v>
      </c>
      <c r="HI23" s="394"/>
      <c r="HJ23" s="411"/>
      <c r="HK23" s="493"/>
      <c r="HL23" s="417">
        <v>43600</v>
      </c>
      <c r="HM23" s="418">
        <f>(HL23-IN23)/IN23</f>
        <v>0.0302457466918715</v>
      </c>
      <c r="HN23" s="421">
        <v>52358</v>
      </c>
      <c r="HO23" s="418">
        <f>(HN23-IP23)/IP23</f>
        <v>0.0223975317802816</v>
      </c>
      <c r="HP23" s="421">
        <v>44615</v>
      </c>
      <c r="HQ23" s="423">
        <f>(HP23-IR23)/IR23</f>
        <v>0.0156161078103303</v>
      </c>
      <c r="HR23" s="439">
        <v>41953</v>
      </c>
      <c r="HS23" s="304">
        <f>(HR23-IT23)/IT23</f>
        <v>0.0126237026309438</v>
      </c>
      <c r="HT23" s="439">
        <v>47601</v>
      </c>
      <c r="HU23" s="304">
        <f>(HT23-IV23)/IV23</f>
        <v>0.0112574382158055</v>
      </c>
      <c r="HV23" s="423"/>
      <c r="HW23" s="439">
        <v>41309</v>
      </c>
      <c r="HX23" s="304">
        <f>(HW23-IX23)/IX23</f>
        <v>0.0119794218520333</v>
      </c>
      <c r="HY23" s="439">
        <v>46037</v>
      </c>
      <c r="HZ23" s="304">
        <f>(HY23-IZ23)/IZ23</f>
        <v>0.0111355150450253</v>
      </c>
      <c r="IA23" s="439">
        <v>46046</v>
      </c>
      <c r="IB23" s="422">
        <f>(IA23-JB23)/JB23</f>
        <v>0.0159073359073359</v>
      </c>
      <c r="IC23" s="439">
        <v>48140</v>
      </c>
      <c r="ID23" s="425">
        <f>(IC23-JD23)/JD23</f>
        <v>0.0147340907653717</v>
      </c>
      <c r="IE23" s="439">
        <v>46001</v>
      </c>
      <c r="IF23" s="425">
        <f>(IE23-JF23)/JF23</f>
        <v>0.0109887694775939</v>
      </c>
      <c r="IG23" s="439">
        <v>37849</v>
      </c>
      <c r="IH23" s="309">
        <f>(IG23-JH23)/JH23</f>
        <v>0.0109241452991453</v>
      </c>
      <c r="II23" s="439">
        <v>42248</v>
      </c>
      <c r="IJ23" s="309">
        <f>(II23-JJ23)/JJ23</f>
        <v>0.0102826534028409</v>
      </c>
      <c r="IK23" s="391">
        <f>HL23+HN23+HP23+HR23+HT23+HW23+HY23+IA23+IC23+IE23+IG23+II23</f>
        <v>537757</v>
      </c>
      <c r="IL23" s="104">
        <f>IK23/JL23-1</f>
        <v>0.0149497174692326</v>
      </c>
      <c r="IM23" s="318"/>
      <c r="IN23" s="518">
        <v>42320</v>
      </c>
      <c r="IO23" s="304">
        <f>IN23/JP23-1</f>
        <v>0.0435481623861549</v>
      </c>
      <c r="IP23" s="103">
        <v>51211</v>
      </c>
      <c r="IQ23" s="304">
        <f>IP23/JQ23-1</f>
        <v>0.0436051748437578</v>
      </c>
      <c r="IR23" s="542">
        <v>43929</v>
      </c>
      <c r="IS23" s="394">
        <f>(IR23-JR23)/JR23</f>
        <v>0.0401150711203452</v>
      </c>
      <c r="IT23" s="543">
        <v>41430</v>
      </c>
      <c r="IU23" s="304">
        <f>(IT23-JS23)/JS23</f>
        <v>0.029112536751609</v>
      </c>
      <c r="IV23" s="543">
        <v>47071.1</v>
      </c>
      <c r="IW23" s="304">
        <f>(IV23-JT23)/JT23</f>
        <v>0.0403242187499383</v>
      </c>
      <c r="IX23" s="543">
        <v>40820</v>
      </c>
      <c r="IY23" s="418">
        <f>(IX23-JU23)/JU23</f>
        <v>0.0278850974539321</v>
      </c>
      <c r="IZ23" s="544">
        <v>45530</v>
      </c>
      <c r="JA23" s="418">
        <f>(IZ23-JV23)/JV23</f>
        <v>0.0255220922712129</v>
      </c>
      <c r="JB23" s="103">
        <v>45325</v>
      </c>
      <c r="JC23" s="418">
        <f>(JB23-JW23)/JW23</f>
        <v>0.0398404746265184</v>
      </c>
      <c r="JD23" s="103">
        <v>47441</v>
      </c>
      <c r="JE23" s="394">
        <f>(JD23-JX23)/JX23</f>
        <v>0.0297346806575082</v>
      </c>
      <c r="JF23" s="103">
        <v>45501</v>
      </c>
      <c r="JG23" s="418">
        <f>(JF23-JY23)/JY23</f>
        <v>0.0152018632786083</v>
      </c>
      <c r="JH23" s="103">
        <v>37440</v>
      </c>
      <c r="JI23" s="418">
        <f>(JH23-JZ23)/JZ23</f>
        <v>-0.0530226384246182</v>
      </c>
      <c r="JJ23" s="103">
        <v>41818</v>
      </c>
      <c r="JK23" s="418">
        <f>(JJ23-KA23)/KA23</f>
        <v>-0.10448668914908</v>
      </c>
      <c r="JL23" s="399">
        <f t="shared" si="62"/>
        <v>529836.1</v>
      </c>
      <c r="JM23" s="398">
        <f>JL23/JO23-1</f>
        <v>0.0146487274415006</v>
      </c>
      <c r="JN23" s="400"/>
      <c r="JO23" s="518">
        <v>522186.728934273</v>
      </c>
      <c r="JP23" s="424">
        <v>40553.95</v>
      </c>
      <c r="JQ23" s="424">
        <v>49071.24</v>
      </c>
      <c r="JR23" s="424">
        <v>42234.75</v>
      </c>
      <c r="JS23" s="424">
        <v>40257.9878491945</v>
      </c>
      <c r="JT23" s="424">
        <v>45246.5675138862</v>
      </c>
      <c r="JU23" s="424">
        <v>39712.61</v>
      </c>
      <c r="JV23" s="424">
        <v>44396.898265902</v>
      </c>
      <c r="JW23" s="424">
        <v>43588.4167869879</v>
      </c>
      <c r="JX23" s="424">
        <v>46071.0908267243</v>
      </c>
      <c r="JY23" s="424">
        <v>44819.6576915786</v>
      </c>
      <c r="JZ23" s="424">
        <v>39536.32</v>
      </c>
      <c r="KA23" s="424">
        <v>46697.24</v>
      </c>
    </row>
    <row r="24" ht="28.8" customHeight="1" spans="1:287">
      <c r="A24" s="401"/>
      <c r="B24" s="141" t="s">
        <v>211</v>
      </c>
      <c r="C24" s="163">
        <v>2.489</v>
      </c>
      <c r="D24" s="402">
        <f t="shared" si="76"/>
        <v>-0.275463569411696</v>
      </c>
      <c r="E24" s="163">
        <v>2.6698</v>
      </c>
      <c r="F24" s="359">
        <f t="shared" si="77"/>
        <v>-0.217778559081187</v>
      </c>
      <c r="G24" s="163">
        <v>2.4174</v>
      </c>
      <c r="H24" s="359">
        <f t="shared" si="78"/>
        <v>-0.254625061667489</v>
      </c>
      <c r="I24" s="163">
        <v>2.2694</v>
      </c>
      <c r="J24" s="359">
        <f t="shared" si="79"/>
        <v>-0.298702101359703</v>
      </c>
      <c r="K24" s="163">
        <v>2.2832</v>
      </c>
      <c r="L24" s="359">
        <f t="shared" si="80"/>
        <v>-0.303286442281285</v>
      </c>
      <c r="M24" s="163">
        <v>2.7015</v>
      </c>
      <c r="N24" s="402">
        <f t="shared" si="81"/>
        <v>-0.155675709463683</v>
      </c>
      <c r="O24" s="163">
        <v>2.534</v>
      </c>
      <c r="P24" s="402">
        <f t="shared" si="82"/>
        <v>-0.210419717695448</v>
      </c>
      <c r="Q24" s="127"/>
      <c r="R24" s="127"/>
      <c r="S24" s="109">
        <f t="shared" si="7"/>
        <v>17.3643</v>
      </c>
      <c r="T24" s="359">
        <f t="shared" si="8"/>
        <v>-0.329377278625718</v>
      </c>
      <c r="U24" s="359"/>
      <c r="V24" s="163">
        <v>3.4353</v>
      </c>
      <c r="W24" s="402">
        <f t="shared" si="83"/>
        <v>-0.608441425217134</v>
      </c>
      <c r="X24" s="163">
        <v>3.4131</v>
      </c>
      <c r="Y24" s="402">
        <f t="shared" si="84"/>
        <v>-0.541545776918117</v>
      </c>
      <c r="Z24" s="163">
        <v>3.2432</v>
      </c>
      <c r="AA24" s="402">
        <f t="shared" si="85"/>
        <v>-0.553911117835578</v>
      </c>
      <c r="AB24" s="163">
        <v>3.236</v>
      </c>
      <c r="AC24" s="402">
        <f t="shared" si="86"/>
        <v>-0.546664425205234</v>
      </c>
      <c r="AD24" s="163">
        <v>3.2771</v>
      </c>
      <c r="AE24" s="402">
        <f t="shared" si="87"/>
        <v>-0.538579595055053</v>
      </c>
      <c r="AF24" s="163">
        <v>3.1996</v>
      </c>
      <c r="AG24" s="402">
        <f t="shared" si="88"/>
        <v>-0.473507536365431</v>
      </c>
      <c r="AH24" s="163">
        <v>3.2093</v>
      </c>
      <c r="AI24" s="402">
        <f t="shared" si="89"/>
        <v>-0.412033050583515</v>
      </c>
      <c r="AJ24" s="163">
        <v>2.8792</v>
      </c>
      <c r="AK24" s="402">
        <f t="shared" si="90"/>
        <v>-0.422322987098975</v>
      </c>
      <c r="AL24" s="163">
        <v>2.7959</v>
      </c>
      <c r="AM24" s="402">
        <f t="shared" si="91"/>
        <v>-0.399247958745165</v>
      </c>
      <c r="AN24" s="163">
        <v>2.7006</v>
      </c>
      <c r="AO24" s="402">
        <f t="shared" si="92"/>
        <v>-0.340303393018541</v>
      </c>
      <c r="AP24" s="163">
        <v>2.7076</v>
      </c>
      <c r="AQ24" s="402">
        <f t="shared" si="93"/>
        <v>-0.340863722673937</v>
      </c>
      <c r="AR24" s="163">
        <v>2.3867</v>
      </c>
      <c r="AS24" s="402">
        <f t="shared" si="94"/>
        <v>-0.405850136918098</v>
      </c>
      <c r="AT24" s="93">
        <f t="shared" si="21"/>
        <v>36.4836</v>
      </c>
      <c r="AU24" s="402">
        <f t="shared" si="22"/>
        <v>-0.487020711182351</v>
      </c>
      <c r="AV24" s="360"/>
      <c r="AW24" s="93">
        <v>8.7734</v>
      </c>
      <c r="AX24" s="402">
        <v>0.196182425523212</v>
      </c>
      <c r="AY24" s="163">
        <v>7.4448</v>
      </c>
      <c r="AZ24" s="402">
        <f t="shared" si="65"/>
        <v>-0.00419999464968845</v>
      </c>
      <c r="BA24" s="93">
        <v>7.2703</v>
      </c>
      <c r="BB24" s="402">
        <f t="shared" si="66"/>
        <v>-0.143562257038521</v>
      </c>
      <c r="BC24" s="93">
        <v>7.1382</v>
      </c>
      <c r="BD24" s="402">
        <f t="shared" si="67"/>
        <v>-0.142990923498055</v>
      </c>
      <c r="BE24" s="93">
        <v>7.1022</v>
      </c>
      <c r="BF24" s="402">
        <f t="shared" si="68"/>
        <v>-0.151023238022377</v>
      </c>
      <c r="BG24" s="93">
        <v>6.0772</v>
      </c>
      <c r="BH24" s="402">
        <f t="shared" si="69"/>
        <v>-0.268159922928709</v>
      </c>
      <c r="BI24" s="93">
        <v>5.4583</v>
      </c>
      <c r="BJ24" s="402">
        <f t="shared" si="70"/>
        <v>-0.334524085295229</v>
      </c>
      <c r="BK24" s="93">
        <v>4.9841</v>
      </c>
      <c r="BL24" s="402">
        <f t="shared" si="71"/>
        <v>-0.388986281889397</v>
      </c>
      <c r="BM24" s="93">
        <v>4.654</v>
      </c>
      <c r="BN24" s="402">
        <f t="shared" si="72"/>
        <v>-0.444139216014141</v>
      </c>
      <c r="BO24" s="93">
        <v>4.0937</v>
      </c>
      <c r="BP24" s="402">
        <f t="shared" si="73"/>
        <v>-0.523073338381779</v>
      </c>
      <c r="BQ24" s="93">
        <v>4.1078</v>
      </c>
      <c r="BR24" s="402">
        <f t="shared" si="74"/>
        <v>-0.505495431508746</v>
      </c>
      <c r="BS24" s="93">
        <v>4.017</v>
      </c>
      <c r="BT24" s="402">
        <f t="shared" si="75"/>
        <v>-0.531003724416527</v>
      </c>
      <c r="BU24" s="163">
        <f t="shared" si="34"/>
        <v>71.121</v>
      </c>
      <c r="BV24" s="402">
        <f t="shared" si="35"/>
        <v>-0.277855284721249</v>
      </c>
      <c r="BW24" s="429"/>
      <c r="BX24" s="93">
        <v>7.3345</v>
      </c>
      <c r="BY24" s="402">
        <f t="shared" si="36"/>
        <v>-0.335384252924599</v>
      </c>
      <c r="BZ24" s="93">
        <v>7.4762</v>
      </c>
      <c r="CA24" s="402">
        <f t="shared" si="37"/>
        <v>-0.325392743383594</v>
      </c>
      <c r="CB24" s="163">
        <v>8.489</v>
      </c>
      <c r="CC24" s="402">
        <f t="shared" si="38"/>
        <v>0.0183296945850628</v>
      </c>
      <c r="CD24" s="163">
        <v>8.3292</v>
      </c>
      <c r="CE24" s="402">
        <v>0.0547430004178855</v>
      </c>
      <c r="CF24" s="163">
        <v>8.3656</v>
      </c>
      <c r="CG24" s="402">
        <f t="shared" si="39"/>
        <v>0.0483470763678289</v>
      </c>
      <c r="CH24" s="163">
        <v>8.304</v>
      </c>
      <c r="CI24" s="402">
        <f t="shared" si="40"/>
        <v>0.0348308305813447</v>
      </c>
      <c r="CJ24" s="163">
        <v>8.2021</v>
      </c>
      <c r="CK24" s="402">
        <f t="shared" si="41"/>
        <v>0.0145965537289248</v>
      </c>
      <c r="CL24" s="163">
        <v>8.1571</v>
      </c>
      <c r="CM24" s="402">
        <f t="shared" si="42"/>
        <v>0.0323221585228495</v>
      </c>
      <c r="CN24" s="163">
        <v>8.3726</v>
      </c>
      <c r="CO24" s="402">
        <f t="shared" si="43"/>
        <v>0.0567995355060207</v>
      </c>
      <c r="CP24" s="163">
        <v>8.5835</v>
      </c>
      <c r="CQ24" s="402">
        <f t="shared" si="44"/>
        <v>0.404897130792019</v>
      </c>
      <c r="CR24" s="163">
        <v>8.3069</v>
      </c>
      <c r="CS24" s="402">
        <f t="shared" si="45"/>
        <v>0.237877388012994</v>
      </c>
      <c r="CT24" s="163">
        <v>8.5651</v>
      </c>
      <c r="CU24" s="402">
        <f t="shared" si="46"/>
        <v>0.391590440137126</v>
      </c>
      <c r="CV24" s="163">
        <f t="shared" si="47"/>
        <v>98.4858</v>
      </c>
      <c r="CW24" s="402">
        <f t="shared" si="48"/>
        <v>0.0128220158578349</v>
      </c>
      <c r="CX24" s="408">
        <f t="shared" si="49"/>
        <v>0.0310825939881303</v>
      </c>
      <c r="CY24" s="408"/>
      <c r="CZ24" s="490">
        <v>11.0357</v>
      </c>
      <c r="DA24" s="93">
        <v>11.0823</v>
      </c>
      <c r="DB24" s="93">
        <v>8.3362</v>
      </c>
      <c r="DC24" s="107">
        <v>7.8969</v>
      </c>
      <c r="DD24" s="163">
        <v>7.9798</v>
      </c>
      <c r="DE24" s="163">
        <v>8.0245</v>
      </c>
      <c r="DF24" s="109">
        <v>8.0841</v>
      </c>
      <c r="DG24" s="109">
        <v>7.9017</v>
      </c>
      <c r="DH24" s="109">
        <v>7.9226</v>
      </c>
      <c r="DI24" s="109">
        <v>6.1097</v>
      </c>
      <c r="DJ24" s="109">
        <v>6.7106</v>
      </c>
      <c r="DK24" s="109">
        <v>6.1549</v>
      </c>
      <c r="DL24" s="109">
        <v>97.239</v>
      </c>
      <c r="DM24" s="410">
        <v>-0.368045685229703</v>
      </c>
      <c r="DN24" s="411"/>
      <c r="DO24" s="412">
        <v>16.8359</v>
      </c>
      <c r="DP24" s="87"/>
      <c r="DQ24" s="424">
        <v>6.9496</v>
      </c>
      <c r="DR24" s="304"/>
      <c r="DS24" s="424">
        <v>15.1574</v>
      </c>
      <c r="DT24" s="104" t="e">
        <f t="shared" si="50"/>
        <v>#DIV/0!</v>
      </c>
      <c r="DU24" s="103"/>
      <c r="DV24" s="424">
        <v>14.1785</v>
      </c>
      <c r="DW24" s="104" t="e">
        <f t="shared" si="51"/>
        <v>#DIV/0!</v>
      </c>
      <c r="DX24" s="424">
        <v>14.5509</v>
      </c>
      <c r="DY24" s="104" t="e">
        <f t="shared" si="52"/>
        <v>#DIV/0!</v>
      </c>
      <c r="DZ24" s="424">
        <v>14.488</v>
      </c>
      <c r="EA24" s="104" t="e">
        <f t="shared" si="53"/>
        <v>#DIV/0!</v>
      </c>
      <c r="EB24" s="424">
        <v>13.5446</v>
      </c>
      <c r="EC24" s="104" t="e">
        <f t="shared" si="54"/>
        <v>#DIV/0!</v>
      </c>
      <c r="ED24" s="424">
        <v>12.8728</v>
      </c>
      <c r="EE24" s="104" t="e">
        <f t="shared" si="55"/>
        <v>#DIV/0!</v>
      </c>
      <c r="EF24" s="424">
        <v>11.0832</v>
      </c>
      <c r="EG24" s="104" t="e">
        <f t="shared" si="56"/>
        <v>#DIV/0!</v>
      </c>
      <c r="EH24" s="424">
        <v>11.4646</v>
      </c>
      <c r="EI24" s="104" t="e">
        <f t="shared" si="57"/>
        <v>#DIV/0!</v>
      </c>
      <c r="EJ24" s="424">
        <v>11.3672</v>
      </c>
      <c r="EK24" s="104" t="e">
        <f t="shared" si="58"/>
        <v>#DIV/0!</v>
      </c>
      <c r="EL24" s="424">
        <v>11.3776</v>
      </c>
      <c r="EM24" s="104" t="e">
        <f t="shared" si="59"/>
        <v>#DIV/0!</v>
      </c>
      <c r="EN24" s="93">
        <f t="shared" si="64"/>
        <v>153.8703</v>
      </c>
      <c r="EO24" s="104" t="e">
        <f t="shared" si="60"/>
        <v>#DIV/0!</v>
      </c>
      <c r="EP24" s="104"/>
      <c r="FN24" s="95">
        <v>0</v>
      </c>
      <c r="FO24" s="96"/>
      <c r="FP24" s="431"/>
      <c r="JL24" s="399">
        <v>0</v>
      </c>
      <c r="JM24" s="398"/>
      <c r="JN24" s="400"/>
      <c r="JO24" s="311"/>
      <c r="JP24" s="144"/>
      <c r="JQ24" s="144"/>
      <c r="JR24" s="144"/>
      <c r="JS24" s="144"/>
      <c r="JT24" s="144"/>
      <c r="JU24" s="144"/>
      <c r="JV24" s="144"/>
      <c r="JW24" s="144"/>
      <c r="JX24" s="144"/>
      <c r="JY24" s="144"/>
      <c r="JZ24" s="144"/>
      <c r="KA24" s="144"/>
    </row>
    <row r="25" ht="28.8" customHeight="1" spans="1:287">
      <c r="A25" s="28"/>
      <c r="B25" s="446" t="s">
        <v>212</v>
      </c>
      <c r="C25" s="163">
        <v>57.3524</v>
      </c>
      <c r="D25" s="402">
        <f t="shared" si="76"/>
        <v>-0.419686635397095</v>
      </c>
      <c r="E25" s="163">
        <v>60.8606</v>
      </c>
      <c r="F25" s="359">
        <f t="shared" si="77"/>
        <v>-0.391885964254918</v>
      </c>
      <c r="G25" s="163">
        <v>55.2767</v>
      </c>
      <c r="H25" s="359">
        <f t="shared" si="78"/>
        <v>-0.395529626612282</v>
      </c>
      <c r="I25" s="163">
        <v>51.9476</v>
      </c>
      <c r="J25" s="359">
        <f t="shared" si="79"/>
        <v>-0.433240155674029</v>
      </c>
      <c r="K25" s="163">
        <v>51.8758</v>
      </c>
      <c r="L25" s="359">
        <f t="shared" si="80"/>
        <v>-0.443630295217278</v>
      </c>
      <c r="M25" s="163">
        <v>57.4551</v>
      </c>
      <c r="N25" s="402">
        <f t="shared" si="81"/>
        <v>-0.373847114557825</v>
      </c>
      <c r="O25" s="163">
        <v>53.3321</v>
      </c>
      <c r="P25" s="402">
        <f t="shared" si="82"/>
        <v>-0.414463167417635</v>
      </c>
      <c r="Q25" s="127"/>
      <c r="R25" s="127"/>
      <c r="S25" s="109">
        <f t="shared" si="7"/>
        <v>388.1003</v>
      </c>
      <c r="T25" s="359">
        <f t="shared" si="8"/>
        <v>-0.468546214812967</v>
      </c>
      <c r="U25" s="359"/>
      <c r="V25" s="163">
        <v>98.830052</v>
      </c>
      <c r="W25" s="402">
        <f t="shared" si="83"/>
        <v>-0.575350800529705</v>
      </c>
      <c r="X25" s="163">
        <v>100.0809</v>
      </c>
      <c r="Y25" s="402">
        <f t="shared" si="84"/>
        <v>-0.507361900231798</v>
      </c>
      <c r="Z25" s="163">
        <v>91.4465</v>
      </c>
      <c r="AA25" s="402">
        <f t="shared" si="85"/>
        <v>-0.542666886715077</v>
      </c>
      <c r="AB25" s="163">
        <v>91.657164</v>
      </c>
      <c r="AC25" s="402">
        <f t="shared" si="86"/>
        <v>-0.532514533504842</v>
      </c>
      <c r="AD25" s="163">
        <v>93.2398</v>
      </c>
      <c r="AE25" s="402">
        <f t="shared" si="87"/>
        <v>-0.518898178285779</v>
      </c>
      <c r="AF25" s="163">
        <v>91.7589</v>
      </c>
      <c r="AG25" s="402">
        <f t="shared" si="88"/>
        <v>-0.440497923793148</v>
      </c>
      <c r="AH25" s="163">
        <v>91.0824</v>
      </c>
      <c r="AI25" s="402">
        <f t="shared" si="89"/>
        <v>-0.392216832956066</v>
      </c>
      <c r="AJ25" s="163">
        <v>72.1659</v>
      </c>
      <c r="AK25" s="402">
        <f t="shared" si="90"/>
        <v>-0.48371636024609</v>
      </c>
      <c r="AL25" s="163">
        <v>70.5554</v>
      </c>
      <c r="AM25" s="402">
        <f t="shared" si="91"/>
        <v>-0.476687023009471</v>
      </c>
      <c r="AN25" s="163">
        <v>69.445</v>
      </c>
      <c r="AO25" s="402">
        <f t="shared" si="92"/>
        <v>-0.389948887652242</v>
      </c>
      <c r="AP25" s="163">
        <v>69.445</v>
      </c>
      <c r="AQ25" s="402">
        <f t="shared" si="93"/>
        <v>-0.397638392069828</v>
      </c>
      <c r="AR25" s="163">
        <v>54.622672</v>
      </c>
      <c r="AS25" s="402">
        <f t="shared" si="94"/>
        <v>-0.513476123392096</v>
      </c>
      <c r="AT25" s="93">
        <f t="shared" si="21"/>
        <v>994.329688</v>
      </c>
      <c r="AU25" s="402">
        <f t="shared" si="22"/>
        <v>-0.491539784514337</v>
      </c>
      <c r="AV25" s="360"/>
      <c r="AW25" s="93">
        <v>232.7334</v>
      </c>
      <c r="AX25" s="402">
        <v>0.445099382117738</v>
      </c>
      <c r="AY25" s="163">
        <v>203.152984</v>
      </c>
      <c r="AZ25" s="402">
        <f t="shared" si="65"/>
        <v>0.224930352140446</v>
      </c>
      <c r="BA25" s="93">
        <v>199.956</v>
      </c>
      <c r="BB25" s="402">
        <f t="shared" si="66"/>
        <v>-0.118463178480831</v>
      </c>
      <c r="BC25" s="93">
        <v>196.0642</v>
      </c>
      <c r="BD25" s="402">
        <f t="shared" si="67"/>
        <v>-0.11108521810725</v>
      </c>
      <c r="BE25" s="93">
        <v>193.804712</v>
      </c>
      <c r="BF25" s="402">
        <f t="shared" si="68"/>
        <v>-0.130334036946892</v>
      </c>
      <c r="BG25" s="93">
        <v>164.001</v>
      </c>
      <c r="BH25" s="402">
        <f t="shared" si="69"/>
        <v>-0.252288939323617</v>
      </c>
      <c r="BI25" s="93">
        <v>149.860024</v>
      </c>
      <c r="BJ25" s="402">
        <f t="shared" si="70"/>
        <v>-0.307544583799059</v>
      </c>
      <c r="BK25" s="93">
        <v>139.77956</v>
      </c>
      <c r="BL25" s="402">
        <f t="shared" si="71"/>
        <v>-0.34828718534989</v>
      </c>
      <c r="BM25" s="93">
        <v>134.82448</v>
      </c>
      <c r="BN25" s="402">
        <f t="shared" si="72"/>
        <v>-0.391139527469163</v>
      </c>
      <c r="BO25" s="93">
        <v>113.834724</v>
      </c>
      <c r="BP25" s="402">
        <f t="shared" si="73"/>
        <v>-0.49930472089035</v>
      </c>
      <c r="BQ25" s="93">
        <v>115.287892</v>
      </c>
      <c r="BR25" s="402">
        <f t="shared" si="74"/>
        <v>-0.471673394793076</v>
      </c>
      <c r="BS25" s="93">
        <v>112.271308</v>
      </c>
      <c r="BT25" s="402">
        <f t="shared" si="75"/>
        <v>-0.504097177622751</v>
      </c>
      <c r="BU25" s="163">
        <f t="shared" si="34"/>
        <v>1955.570284</v>
      </c>
      <c r="BV25" s="402">
        <f t="shared" si="35"/>
        <v>-0.230326341316254</v>
      </c>
      <c r="BW25" s="429"/>
      <c r="BX25" s="93">
        <v>161.0501</v>
      </c>
      <c r="BY25" s="402">
        <f t="shared" si="36"/>
        <v>-0.474865113294399</v>
      </c>
      <c r="BZ25" s="93">
        <v>165.8486</v>
      </c>
      <c r="CA25" s="402">
        <f t="shared" si="37"/>
        <v>-0.46293351847738</v>
      </c>
      <c r="CB25" s="163">
        <v>226.8266</v>
      </c>
      <c r="CC25" s="402">
        <f t="shared" si="38"/>
        <v>0.293137880334922</v>
      </c>
      <c r="CD25" s="163">
        <v>220.5658</v>
      </c>
      <c r="CE25" s="402">
        <v>0.293064674983585</v>
      </c>
      <c r="CF25" s="163">
        <v>222.8496</v>
      </c>
      <c r="CG25" s="402">
        <f t="shared" si="39"/>
        <v>0.298357721644656</v>
      </c>
      <c r="CH25" s="163">
        <v>219.3374</v>
      </c>
      <c r="CI25" s="402">
        <f t="shared" si="40"/>
        <v>0.271852209647613</v>
      </c>
      <c r="CJ25" s="163">
        <v>216.4183</v>
      </c>
      <c r="CK25" s="402">
        <f t="shared" si="41"/>
        <v>0.243116051498793</v>
      </c>
      <c r="CL25" s="163">
        <v>214.4803</v>
      </c>
      <c r="CM25" s="402">
        <f t="shared" si="42"/>
        <v>0.253807364763432</v>
      </c>
      <c r="CN25" s="163">
        <v>221.4374</v>
      </c>
      <c r="CO25" s="402">
        <f t="shared" si="43"/>
        <v>0.301316787736074</v>
      </c>
      <c r="CP25" s="163">
        <v>227.3533</v>
      </c>
      <c r="CQ25" s="402">
        <f t="shared" si="44"/>
        <v>0.757284877753181</v>
      </c>
      <c r="CR25" s="163">
        <v>218.2133</v>
      </c>
      <c r="CS25" s="402">
        <f t="shared" si="45"/>
        <v>0.461825696954269</v>
      </c>
      <c r="CT25" s="163">
        <v>226.3978</v>
      </c>
      <c r="CU25" s="402">
        <f t="shared" si="46"/>
        <v>0.648366034010257</v>
      </c>
      <c r="CV25" s="163">
        <f t="shared" si="47"/>
        <v>2540.7785</v>
      </c>
      <c r="CW25" s="402">
        <f t="shared" si="48"/>
        <v>0.135855106793323</v>
      </c>
      <c r="CX25" s="408">
        <f t="shared" si="49"/>
        <v>0.0375068797364779</v>
      </c>
      <c r="CY25" s="408"/>
      <c r="CZ25" s="477">
        <v>306.6833</v>
      </c>
      <c r="DA25" s="473">
        <v>308.8046</v>
      </c>
      <c r="DB25" s="473">
        <v>175.4079</v>
      </c>
      <c r="DC25" s="473">
        <v>170.576</v>
      </c>
      <c r="DD25" s="448">
        <v>171.6396</v>
      </c>
      <c r="DE25" s="448">
        <v>172.4551</v>
      </c>
      <c r="DF25" s="448">
        <v>174.0934</v>
      </c>
      <c r="DG25" s="448">
        <v>171.0632</v>
      </c>
      <c r="DH25" s="448">
        <v>170.1641</v>
      </c>
      <c r="DI25" s="448">
        <v>129.3776</v>
      </c>
      <c r="DJ25" s="448">
        <v>149.2745</v>
      </c>
      <c r="DK25" s="448">
        <v>137.3468</v>
      </c>
      <c r="DL25" s="448">
        <v>2236.8861</v>
      </c>
      <c r="DM25" s="449">
        <v>-0.501400051676933</v>
      </c>
      <c r="DN25" s="411"/>
      <c r="DO25" s="412">
        <v>517.5942</v>
      </c>
      <c r="DP25" s="87"/>
      <c r="DQ25" s="424">
        <v>260.6436</v>
      </c>
      <c r="DR25" s="304"/>
      <c r="DS25" s="424">
        <v>435.9805</v>
      </c>
      <c r="DT25" s="104" t="e">
        <f t="shared" si="50"/>
        <v>#DIV/0!</v>
      </c>
      <c r="DU25" s="103"/>
      <c r="DV25" s="424">
        <v>422.9915</v>
      </c>
      <c r="DW25" s="104" t="e">
        <f t="shared" si="51"/>
        <v>#DIV/0!</v>
      </c>
      <c r="DX25" s="424">
        <v>418.4388</v>
      </c>
      <c r="DY25" s="104" t="e">
        <f t="shared" si="52"/>
        <v>#DIV/0!</v>
      </c>
      <c r="DZ25" s="424">
        <v>412.4421</v>
      </c>
      <c r="EA25" s="104" t="e">
        <f t="shared" si="53"/>
        <v>#DIV/0!</v>
      </c>
      <c r="EB25" s="424">
        <v>386.2965</v>
      </c>
      <c r="EC25" s="104" t="e">
        <f t="shared" si="54"/>
        <v>#DIV/0!</v>
      </c>
      <c r="ED25" s="424">
        <v>365.4591</v>
      </c>
      <c r="EE25" s="104" t="e">
        <f t="shared" si="55"/>
        <v>#DIV/0!</v>
      </c>
      <c r="EF25" s="424">
        <v>309.3693</v>
      </c>
      <c r="EG25" s="104" t="e">
        <f t="shared" si="56"/>
        <v>#DIV/0!</v>
      </c>
      <c r="EH25" s="424">
        <v>321.0472</v>
      </c>
      <c r="EI25" s="104" t="e">
        <f t="shared" si="57"/>
        <v>#DIV/0!</v>
      </c>
      <c r="EJ25" s="424">
        <v>317.4131</v>
      </c>
      <c r="EK25" s="104" t="e">
        <f t="shared" si="58"/>
        <v>#DIV/0!</v>
      </c>
      <c r="EL25" s="424">
        <v>318.6585</v>
      </c>
      <c r="EM25" s="104" t="e">
        <f t="shared" si="59"/>
        <v>#DIV/0!</v>
      </c>
      <c r="EN25" s="93">
        <f t="shared" si="64"/>
        <v>4486.3344</v>
      </c>
      <c r="EO25" s="104" t="e">
        <f t="shared" si="60"/>
        <v>#DIV/0!</v>
      </c>
      <c r="EP25" s="104"/>
      <c r="FN25" s="95">
        <v>0</v>
      </c>
      <c r="FO25" s="96"/>
      <c r="FP25" s="431"/>
      <c r="JL25" s="399">
        <v>0</v>
      </c>
      <c r="JM25" s="398"/>
      <c r="JN25" s="400"/>
      <c r="JO25" s="311"/>
      <c r="JP25" s="144"/>
      <c r="JQ25" s="144"/>
      <c r="JR25" s="144"/>
      <c r="JS25" s="144"/>
      <c r="JT25" s="144"/>
      <c r="JU25" s="144"/>
      <c r="JV25" s="144"/>
      <c r="JW25" s="144"/>
      <c r="JX25" s="144"/>
      <c r="JY25" s="144"/>
      <c r="JZ25" s="144"/>
      <c r="KA25" s="144"/>
    </row>
    <row r="26" s="286" customFormat="1" ht="28.8" hidden="1" customHeight="1" spans="1:287">
      <c r="A26" s="298" t="s">
        <v>98</v>
      </c>
      <c r="B26" s="164" t="s">
        <v>206</v>
      </c>
      <c r="C26" s="109">
        <v>58.6181</v>
      </c>
      <c r="D26" s="359">
        <f t="shared" si="76"/>
        <v>0.0612934004674766</v>
      </c>
      <c r="E26" s="109">
        <v>51.2609</v>
      </c>
      <c r="F26" s="359">
        <f t="shared" si="77"/>
        <v>-0.00459633070278997</v>
      </c>
      <c r="G26" s="109">
        <v>51.4017</v>
      </c>
      <c r="H26" s="359">
        <f t="shared" si="78"/>
        <v>-0.0202014810861298</v>
      </c>
      <c r="I26" s="109">
        <v>51.5443</v>
      </c>
      <c r="J26" s="359">
        <f t="shared" si="79"/>
        <v>-0.0244750414005205</v>
      </c>
      <c r="K26" s="109">
        <v>51.6972</v>
      </c>
      <c r="L26" s="359">
        <f t="shared" si="80"/>
        <v>-0.0248037712144962</v>
      </c>
      <c r="M26" s="109">
        <v>50.2205</v>
      </c>
      <c r="N26" s="359">
        <f t="shared" si="81"/>
        <v>-0.0746227678859339</v>
      </c>
      <c r="O26" s="109">
        <v>49.3355</v>
      </c>
      <c r="P26" s="359">
        <f t="shared" si="82"/>
        <v>-0.0202443059166039</v>
      </c>
      <c r="Q26" s="127"/>
      <c r="R26" s="127"/>
      <c r="S26" s="109">
        <f t="shared" si="7"/>
        <v>364.0782</v>
      </c>
      <c r="T26" s="359">
        <f t="shared" si="8"/>
        <v>-0.130287652904514</v>
      </c>
      <c r="U26" s="359"/>
      <c r="V26" s="109">
        <v>55.2327</v>
      </c>
      <c r="W26" s="359">
        <f t="shared" si="83"/>
        <v>0.178332792872747</v>
      </c>
      <c r="X26" s="109">
        <v>51.4976</v>
      </c>
      <c r="Y26" s="359">
        <f t="shared" si="84"/>
        <v>0.101392738596311</v>
      </c>
      <c r="Z26" s="109">
        <v>52.4615</v>
      </c>
      <c r="AA26" s="359">
        <f t="shared" si="85"/>
        <v>0.0501247062497248</v>
      </c>
      <c r="AB26" s="109">
        <v>52.8375</v>
      </c>
      <c r="AC26" s="359">
        <f t="shared" si="86"/>
        <v>0.0461421189142099</v>
      </c>
      <c r="AD26" s="163">
        <v>53.0121</v>
      </c>
      <c r="AE26" s="359">
        <f t="shared" si="87"/>
        <v>0.0182611301271192</v>
      </c>
      <c r="AF26" s="163">
        <v>54.2703</v>
      </c>
      <c r="AG26" s="359">
        <f t="shared" si="88"/>
        <v>-0.0448884125383442</v>
      </c>
      <c r="AH26" s="163">
        <v>50.3549</v>
      </c>
      <c r="AI26" s="359">
        <f t="shared" si="89"/>
        <v>-0.0697001160221403</v>
      </c>
      <c r="AJ26" s="163">
        <v>48.9525</v>
      </c>
      <c r="AK26" s="359">
        <f t="shared" si="90"/>
        <v>-0.091087167623189</v>
      </c>
      <c r="AL26" s="163">
        <v>49.2128</v>
      </c>
      <c r="AM26" s="359">
        <f t="shared" si="91"/>
        <v>-0.0659261818085191</v>
      </c>
      <c r="AN26" s="163">
        <v>49.5826</v>
      </c>
      <c r="AO26" s="359">
        <f t="shared" si="92"/>
        <v>-0.11487935106457</v>
      </c>
      <c r="AP26" s="163">
        <v>52.5038</v>
      </c>
      <c r="AQ26" s="359">
        <f t="shared" si="93"/>
        <v>-0.141501397207547</v>
      </c>
      <c r="AR26" s="163">
        <v>60.2661</v>
      </c>
      <c r="AS26" s="359">
        <f t="shared" si="94"/>
        <v>0.0350216137214929</v>
      </c>
      <c r="AT26" s="107">
        <f t="shared" si="21"/>
        <v>630.1844</v>
      </c>
      <c r="AU26" s="359">
        <f t="shared" si="22"/>
        <v>-0.013875716158802</v>
      </c>
      <c r="AV26" s="360"/>
      <c r="AW26" s="450">
        <v>46.8736</v>
      </c>
      <c r="AX26" s="361">
        <v>0.232928526149387</v>
      </c>
      <c r="AY26" s="108">
        <v>46.7568</v>
      </c>
      <c r="AZ26" s="361">
        <f t="shared" si="65"/>
        <v>0.0891100178890878</v>
      </c>
      <c r="BA26" s="108">
        <v>49.9574</v>
      </c>
      <c r="BB26" s="361">
        <f t="shared" si="66"/>
        <v>-0.0125493405122914</v>
      </c>
      <c r="BC26" s="108">
        <v>50.507</v>
      </c>
      <c r="BD26" s="361">
        <f t="shared" si="67"/>
        <v>-0.066200016269903</v>
      </c>
      <c r="BE26" s="362">
        <v>52.0614</v>
      </c>
      <c r="BF26" s="361">
        <f t="shared" si="68"/>
        <v>-0.0538780687710014</v>
      </c>
      <c r="BG26" s="108">
        <v>56.8209</v>
      </c>
      <c r="BH26" s="361">
        <f t="shared" si="69"/>
        <v>-0.165391468091638</v>
      </c>
      <c r="BI26" s="108">
        <v>54.1276</v>
      </c>
      <c r="BJ26" s="361">
        <f t="shared" si="70"/>
        <v>-0.116582640642265</v>
      </c>
      <c r="BK26" s="108">
        <v>53.8583</v>
      </c>
      <c r="BL26" s="361">
        <f t="shared" si="71"/>
        <v>-0.0275143051635818</v>
      </c>
      <c r="BM26" s="108">
        <v>52.6862</v>
      </c>
      <c r="BN26" s="361">
        <f t="shared" si="72"/>
        <v>-0.0128697789710547</v>
      </c>
      <c r="BO26" s="108">
        <v>56.0179</v>
      </c>
      <c r="BP26" s="361">
        <f t="shared" si="73"/>
        <v>-0.0198675844306726</v>
      </c>
      <c r="BQ26" s="108">
        <v>61.1577</v>
      </c>
      <c r="BR26" s="361">
        <f t="shared" si="74"/>
        <v>0.184012901502142</v>
      </c>
      <c r="BS26" s="108">
        <v>58.2269</v>
      </c>
      <c r="BT26" s="361">
        <f t="shared" si="75"/>
        <v>0.178150349133893</v>
      </c>
      <c r="BU26" s="108">
        <f t="shared" si="34"/>
        <v>639.0517</v>
      </c>
      <c r="BV26" s="361">
        <f t="shared" si="35"/>
        <v>0.00323552604457156</v>
      </c>
      <c r="BW26" s="364"/>
      <c r="BX26" s="450">
        <v>38.0181</v>
      </c>
      <c r="BY26" s="361">
        <f t="shared" si="36"/>
        <v>-0.113726962043612</v>
      </c>
      <c r="BZ26" s="450">
        <v>42.9312</v>
      </c>
      <c r="CA26" s="361">
        <f t="shared" si="37"/>
        <v>0.0458270401948844</v>
      </c>
      <c r="CB26" s="108">
        <v>50.5923</v>
      </c>
      <c r="CC26" s="361">
        <f t="shared" si="38"/>
        <v>0.154292637184375</v>
      </c>
      <c r="CD26" s="108">
        <v>54.0876</v>
      </c>
      <c r="CE26" s="361">
        <v>1.69036320768795</v>
      </c>
      <c r="CF26" s="108">
        <v>55.0261</v>
      </c>
      <c r="CG26" s="361">
        <f t="shared" si="39"/>
        <v>0.413041580212421</v>
      </c>
      <c r="CH26" s="108">
        <v>68.0809</v>
      </c>
      <c r="CI26" s="361">
        <f t="shared" si="40"/>
        <v>0.513894602485618</v>
      </c>
      <c r="CJ26" s="108">
        <v>61.2707</v>
      </c>
      <c r="CK26" s="361">
        <f t="shared" si="41"/>
        <v>0.178398265983779</v>
      </c>
      <c r="CL26" s="108">
        <v>55.3821</v>
      </c>
      <c r="CM26" s="361">
        <f t="shared" si="42"/>
        <v>0.138989262482031</v>
      </c>
      <c r="CN26" s="108">
        <v>53.3731</v>
      </c>
      <c r="CO26" s="361">
        <f t="shared" si="43"/>
        <v>0.263471990758276</v>
      </c>
      <c r="CP26" s="108">
        <v>57.1534</v>
      </c>
      <c r="CQ26" s="361">
        <f t="shared" si="44"/>
        <v>0.326255749086876</v>
      </c>
      <c r="CR26" s="108">
        <v>51.6529</v>
      </c>
      <c r="CS26" s="361">
        <f t="shared" si="45"/>
        <v>0.587576108705207</v>
      </c>
      <c r="CT26" s="108">
        <v>49.4223</v>
      </c>
      <c r="CU26" s="361">
        <f t="shared" si="46"/>
        <v>0.765895716240697</v>
      </c>
      <c r="CV26" s="108">
        <f t="shared" si="47"/>
        <v>636.9907</v>
      </c>
      <c r="CW26" s="361">
        <f t="shared" si="48"/>
        <v>0.331860320311856</v>
      </c>
      <c r="CX26" s="365">
        <f t="shared" si="49"/>
        <v>-0.043184409781445</v>
      </c>
      <c r="CY26" s="365"/>
      <c r="CZ26" s="453">
        <v>42.8966</v>
      </c>
      <c r="DA26" s="450">
        <v>41.05</v>
      </c>
      <c r="DB26" s="450">
        <v>43.8297</v>
      </c>
      <c r="DC26" s="450">
        <v>20.1042</v>
      </c>
      <c r="DD26" s="108">
        <v>38.9416</v>
      </c>
      <c r="DE26" s="108">
        <v>44.9707</v>
      </c>
      <c r="DF26" s="108">
        <v>51.9949</v>
      </c>
      <c r="DG26" s="108">
        <v>48.6239</v>
      </c>
      <c r="DH26" s="108">
        <v>42.2432</v>
      </c>
      <c r="DI26" s="108">
        <v>43.0938</v>
      </c>
      <c r="DJ26" s="108">
        <v>32.5357</v>
      </c>
      <c r="DK26" s="108">
        <v>27.9871</v>
      </c>
      <c r="DL26" s="108">
        <v>478.2714</v>
      </c>
      <c r="DM26" s="368">
        <v>-0.153855231063703</v>
      </c>
      <c r="DN26" s="369"/>
      <c r="DO26" s="370">
        <v>53.1155</v>
      </c>
      <c r="DP26" s="371">
        <f>(DO26-DX26)/DX26</f>
        <v>-0.0247934946452735</v>
      </c>
      <c r="DQ26" s="388">
        <v>54.4053</v>
      </c>
      <c r="DR26" s="532"/>
      <c r="DS26" s="388">
        <v>52.8281</v>
      </c>
      <c r="DT26" s="373">
        <f t="shared" si="50"/>
        <v>60.428023255814</v>
      </c>
      <c r="DU26" s="374"/>
      <c r="DV26" s="388">
        <v>55.2734</v>
      </c>
      <c r="DW26" s="373">
        <f t="shared" si="51"/>
        <v>0.436157663626679</v>
      </c>
      <c r="DX26" s="388">
        <v>54.4659</v>
      </c>
      <c r="DY26" s="373">
        <f t="shared" si="52"/>
        <v>0.944752308384452</v>
      </c>
      <c r="DZ26" s="388">
        <v>50.5827</v>
      </c>
      <c r="EA26" s="373">
        <f t="shared" si="53"/>
        <v>0.479342081789388</v>
      </c>
      <c r="EB26" s="388">
        <v>48.1378</v>
      </c>
      <c r="EC26" s="373">
        <f t="shared" si="54"/>
        <v>0.377100861371042</v>
      </c>
      <c r="ED26" s="388">
        <v>25.4038</v>
      </c>
      <c r="EE26" s="373">
        <f t="shared" si="55"/>
        <v>-0.542317580483305</v>
      </c>
      <c r="EF26" s="388">
        <v>41.1191</v>
      </c>
      <c r="EG26" s="373">
        <f t="shared" si="56"/>
        <v>-0.139513957045907</v>
      </c>
      <c r="EH26" s="388">
        <v>45.1472</v>
      </c>
      <c r="EI26" s="373">
        <f t="shared" si="57"/>
        <v>-0.273712388355512</v>
      </c>
      <c r="EJ26" s="388">
        <v>42.9876</v>
      </c>
      <c r="EK26" s="373">
        <f t="shared" si="58"/>
        <v>-0.155997094221821</v>
      </c>
      <c r="EL26" s="388">
        <v>41.7695</v>
      </c>
      <c r="EM26" s="373">
        <f t="shared" si="59"/>
        <v>-0.135665154700614</v>
      </c>
      <c r="EN26" s="372">
        <f t="shared" si="64"/>
        <v>565.2359</v>
      </c>
      <c r="EO26" s="373">
        <f t="shared" si="60"/>
        <v>0.090443158279964</v>
      </c>
      <c r="EP26" s="548">
        <v>117.1407</v>
      </c>
      <c r="EQ26" s="373">
        <f>(EP26-FP26)/FP26</f>
        <v>-0.157699874310072</v>
      </c>
      <c r="ER26" s="388">
        <v>0</v>
      </c>
      <c r="ES26" s="373">
        <f>(ER26-FQ26)/FQ26</f>
        <v>-1</v>
      </c>
      <c r="ET26" s="388">
        <v>0.86</v>
      </c>
      <c r="EU26" s="373">
        <f>(ET26-FR26)/FR26</f>
        <v>-0.994397043723907</v>
      </c>
      <c r="EV26" s="388">
        <v>38.487</v>
      </c>
      <c r="EW26" s="373">
        <f>(EV26-FS26)/FS26</f>
        <v>-0.674799701897614</v>
      </c>
      <c r="EX26" s="388">
        <v>28.0066</v>
      </c>
      <c r="EY26" s="373">
        <f>(EX26-FT26)/FT26</f>
        <v>-0.778799797807475</v>
      </c>
      <c r="EZ26" s="388">
        <v>34.1927</v>
      </c>
      <c r="FA26" s="373">
        <f>(EZ26-FU26)/FU26</f>
        <v>-0.698600130634494</v>
      </c>
      <c r="FB26" s="388">
        <v>34.9559</v>
      </c>
      <c r="FC26" s="373">
        <f>(FB26-FV26)/FV26</f>
        <v>-0.692700247380701</v>
      </c>
      <c r="FD26" s="388">
        <v>55.5053</v>
      </c>
      <c r="FE26" s="373">
        <f>(FD26-FW26)/FW26</f>
        <v>-0.479193173672022</v>
      </c>
      <c r="FF26" s="388">
        <v>47.7859</v>
      </c>
      <c r="FG26" s="373">
        <f>(FF26-FX26)/FX26</f>
        <v>-0.550375613005694</v>
      </c>
      <c r="FH26" s="388">
        <v>62.1616</v>
      </c>
      <c r="FI26" s="373">
        <f>(FH26-FY26)/FY26</f>
        <v>-0.448273413605</v>
      </c>
      <c r="FJ26" s="388">
        <v>50.933</v>
      </c>
      <c r="FK26" s="373">
        <f>(FJ26-GA26)/GA26</f>
        <v>-0.469447916666667</v>
      </c>
      <c r="FL26" s="388">
        <v>48.3256</v>
      </c>
      <c r="FM26" s="456">
        <f>(FL26-GC26)/GC26</f>
        <v>-0.565729690869878</v>
      </c>
      <c r="FN26" s="359">
        <v>518.3543</v>
      </c>
      <c r="FO26" s="358">
        <f>(FN26-(FP26+FQ26+FR26+FS26+FT26+FU26+FV26+FW26+FX26+FY26+GA26+GC26))/(FP26+FQ26+FR26+FS26+FT26+FU26+FV26+FW26+FX26+FY26+GA26+GC26)</f>
        <v>-0.650001421319372</v>
      </c>
      <c r="FP26" s="528">
        <v>139.0724</v>
      </c>
      <c r="FQ26" s="528">
        <v>183.4942</v>
      </c>
      <c r="FR26" s="528">
        <v>153.4904</v>
      </c>
      <c r="FS26" s="528">
        <v>118.3486</v>
      </c>
      <c r="FT26" s="528">
        <v>126.612</v>
      </c>
      <c r="FU26" s="529">
        <v>113.4463</v>
      </c>
      <c r="FV26" s="549">
        <v>113.7518</v>
      </c>
      <c r="FW26" s="459">
        <v>106.5756</v>
      </c>
      <c r="FX26" s="459">
        <v>106.2796</v>
      </c>
      <c r="FY26" s="459">
        <v>112.6674</v>
      </c>
      <c r="FZ26" s="368">
        <f>(FY26-HA26)/HA26</f>
        <v>-0.279099810540985</v>
      </c>
      <c r="GA26" s="459">
        <v>96</v>
      </c>
      <c r="GB26" s="368">
        <f>(GA26-HC26)/HC26</f>
        <v>-0.276564767799898</v>
      </c>
      <c r="GC26" s="459">
        <v>111.28</v>
      </c>
      <c r="GD26" s="368">
        <f>(GC26-HE26)/HE26</f>
        <v>-0.269000373776768</v>
      </c>
      <c r="GE26" s="455">
        <f>FP26+FQ26+FR26+FS26+FT26+FU26+FV26+FW26+FX26+FY26+GA26+GC26</f>
        <v>1481.0183</v>
      </c>
      <c r="GF26" s="460">
        <f>(GE26-HG26)/HG26</f>
        <v>-0.201696597463798</v>
      </c>
      <c r="GG26" s="317"/>
      <c r="GH26" s="536"/>
      <c r="GI26" s="379">
        <v>148.8679</v>
      </c>
      <c r="GJ26" s="376">
        <f>(GI26-HL26)/HL26</f>
        <v>-0.0460243511694971</v>
      </c>
      <c r="GK26" s="375">
        <v>203.0791</v>
      </c>
      <c r="GL26" s="376">
        <f>(GK26-HN26)/HN26</f>
        <v>-0.0886174056536667</v>
      </c>
      <c r="GM26" s="533">
        <v>179.6681</v>
      </c>
      <c r="GN26" s="376">
        <f>(GM26-HP26)/HP26</f>
        <v>-0.0395105498856242</v>
      </c>
      <c r="GO26" s="533">
        <v>142.1434</v>
      </c>
      <c r="GP26" s="376">
        <f>(GO26-HR26)/HR26</f>
        <v>-0.0496561822017042</v>
      </c>
      <c r="GQ26" s="533">
        <v>153.6181</v>
      </c>
      <c r="GR26" s="376">
        <f>(GQ26-HT26)/HT26</f>
        <v>-0.042793194164219</v>
      </c>
      <c r="GS26" s="375">
        <v>151.161</v>
      </c>
      <c r="GT26" s="376">
        <f>(GS26-HW26)/HW26</f>
        <v>-0.0424114651400422</v>
      </c>
      <c r="GU26" s="375">
        <v>151.1451</v>
      </c>
      <c r="GV26" s="376">
        <f>(GU26-HY26)/HY26</f>
        <v>-0.0298082854426727</v>
      </c>
      <c r="GW26" s="375">
        <v>142.9969</v>
      </c>
      <c r="GX26" s="376">
        <f>(GW26-IA26)/IA26</f>
        <v>-0.0523253656247763</v>
      </c>
      <c r="GY26" s="375">
        <v>141.3105</v>
      </c>
      <c r="GZ26" s="376">
        <f>(GY26-IC26)/IC26</f>
        <v>-0.0670406589517829</v>
      </c>
      <c r="HA26" s="375">
        <v>156.2871</v>
      </c>
      <c r="HB26" s="376">
        <f>(HA26-IE26)/IE26</f>
        <v>-0.0501025645700948</v>
      </c>
      <c r="HC26" s="375">
        <v>132.7002</v>
      </c>
      <c r="HD26" s="376">
        <f>(HC26-IG26)/IG26</f>
        <v>-0.0521360122057841</v>
      </c>
      <c r="HE26" s="375">
        <v>152.2299</v>
      </c>
      <c r="HF26" s="376">
        <f>(HE26-II26)/II26</f>
        <v>-0.0668448017771829</v>
      </c>
      <c r="HG26" s="375">
        <f>GI26+GK26+GM26+GO26+GQ26+GS26+GU26+GW26+GY26+HA26+HC26+HE26</f>
        <v>1855.2073</v>
      </c>
      <c r="HH26" s="375">
        <f>HE26+HC26+HA26+GY26+GW26+GU26+GS26+GQ26+GO26+GM26+GK26+GI26</f>
        <v>1855.2073</v>
      </c>
      <c r="HI26" s="377"/>
      <c r="HJ26" s="369"/>
      <c r="HK26" s="485"/>
      <c r="HL26" s="379">
        <v>156.05</v>
      </c>
      <c r="HM26" s="380">
        <f>(HL26-IN26)/IN26</f>
        <v>-0.0173792582331087</v>
      </c>
      <c r="HN26" s="462">
        <v>222.8253</v>
      </c>
      <c r="HO26" s="380">
        <f>(HN26-IP26)/IP26</f>
        <v>-0.0465327342747111</v>
      </c>
      <c r="HP26" s="462">
        <v>187.0589</v>
      </c>
      <c r="HQ26" s="466">
        <f>(HP26-IR26)/IR26</f>
        <v>-0.0459099255330001</v>
      </c>
      <c r="HR26" s="464">
        <v>149.5705</v>
      </c>
      <c r="HS26" s="465">
        <f>(HR26-IT26)/IT26</f>
        <v>-0.0485942370078239</v>
      </c>
      <c r="HT26" s="464">
        <v>160.4858</v>
      </c>
      <c r="HU26" s="465">
        <f>(HT26-IV26)/IV26</f>
        <v>0.00801331574649836</v>
      </c>
      <c r="HV26" s="466"/>
      <c r="HW26" s="464">
        <v>157.8559</v>
      </c>
      <c r="HX26" s="465">
        <f>(HW26-IX26)/IX26</f>
        <v>-0.0150012479720454</v>
      </c>
      <c r="HY26" s="464">
        <v>155.7889</v>
      </c>
      <c r="HZ26" s="465">
        <f>(HY26-IZ26)/IZ26</f>
        <v>-0.0289896534530041</v>
      </c>
      <c r="IA26" s="464">
        <v>150.8924</v>
      </c>
      <c r="IB26" s="390">
        <f>(IA26-JB26)/JB26</f>
        <v>-0.0390855250589059</v>
      </c>
      <c r="IC26" s="464">
        <v>151.4648</v>
      </c>
      <c r="ID26" s="390">
        <f>(IC26-JD26)/JD26</f>
        <v>-0.0469716227269868</v>
      </c>
      <c r="IE26" s="464">
        <v>164.5305</v>
      </c>
      <c r="IF26" s="390">
        <f>(IE26-JF26)/JF26</f>
        <v>-0.0321735294117648</v>
      </c>
      <c r="IG26" s="464">
        <v>139.9992</v>
      </c>
      <c r="IH26" s="390">
        <f>(IG26-JH26)/JH26</f>
        <v>-0.0472356063699469</v>
      </c>
      <c r="II26" s="375">
        <v>163.1346</v>
      </c>
      <c r="IJ26" s="309">
        <f>(II26-JJ26)/JJ26</f>
        <v>-0.0405878755087158</v>
      </c>
      <c r="IK26" s="391">
        <f>HL26+HN26+HP26+HR26+HT26+HW26+HY26+IA26+IC26+IE26+IG26+II26</f>
        <v>1959.6568</v>
      </c>
      <c r="IL26" s="104">
        <f>IK26/JL26-1</f>
        <v>-0.0339979868147208</v>
      </c>
      <c r="IM26" s="318"/>
      <c r="IN26" s="550">
        <v>158.81</v>
      </c>
      <c r="IO26" s="410">
        <f>IN26/JP26-1</f>
        <v>-0.109294448296568</v>
      </c>
      <c r="IP26" s="508">
        <v>233.7</v>
      </c>
      <c r="IQ26" s="410">
        <f>IP26/JQ26-1</f>
        <v>-0.0499920969517051</v>
      </c>
      <c r="IR26" s="508">
        <v>196.06</v>
      </c>
      <c r="IS26" s="394">
        <f>(IR26-JR26)/JR26</f>
        <v>-0.00801408803859501</v>
      </c>
      <c r="IT26" s="526">
        <v>157.21</v>
      </c>
      <c r="IU26" s="505">
        <f>(IT26-JS26)/JS26</f>
        <v>-0.0322083046920692</v>
      </c>
      <c r="IV26" s="526">
        <v>159.21</v>
      </c>
      <c r="IW26" s="505">
        <f>(IV26-JT26)/JT26</f>
        <v>-0.0383431103603814</v>
      </c>
      <c r="IX26" s="526">
        <v>160.26</v>
      </c>
      <c r="IY26" s="410">
        <f>(IX26-JU26)/JU26</f>
        <v>-0.0436724394127063</v>
      </c>
      <c r="IZ26" s="526">
        <v>160.44</v>
      </c>
      <c r="JA26" s="410">
        <f>(IZ26-JV26)/JV26</f>
        <v>-0.048429657012823</v>
      </c>
      <c r="JB26" s="508">
        <v>157.03</v>
      </c>
      <c r="JC26" s="410">
        <f>(JB26-JW26)/JW26</f>
        <v>-0.0462515360735421</v>
      </c>
      <c r="JD26" s="508">
        <v>158.93</v>
      </c>
      <c r="JE26" s="500">
        <f>(JD26-JX26)/JX26</f>
        <v>-0.0412189651207432</v>
      </c>
      <c r="JF26" s="508">
        <v>170</v>
      </c>
      <c r="JG26" s="501">
        <f>(JF26-JY26)/JY26</f>
        <v>-0.032685920504509</v>
      </c>
      <c r="JH26" s="455">
        <v>146.94</v>
      </c>
      <c r="JI26" s="527">
        <f>(JH26-JZ26)/JZ26</f>
        <v>-0.0455015815947586</v>
      </c>
      <c r="JJ26" s="472">
        <v>170.036</v>
      </c>
      <c r="JK26" s="527">
        <f>(JJ26-KA26)/KA26</f>
        <v>-0.0401154339405157</v>
      </c>
      <c r="JL26" s="399">
        <f t="shared" si="62"/>
        <v>2028.626</v>
      </c>
      <c r="JM26" s="398">
        <f>JL26/JO26-1</f>
        <v>-0.0446158966305473</v>
      </c>
      <c r="JN26" s="400"/>
      <c r="JO26" s="528">
        <v>2123.36168546811</v>
      </c>
      <c r="JP26" s="388">
        <v>178.296856572055</v>
      </c>
      <c r="JQ26" s="388">
        <v>245.997953543466</v>
      </c>
      <c r="JR26" s="388">
        <v>197.643935902618</v>
      </c>
      <c r="JS26" s="388">
        <v>162.441980812802</v>
      </c>
      <c r="JT26" s="388">
        <v>165.558009010536</v>
      </c>
      <c r="JU26" s="388">
        <v>167.578564714356</v>
      </c>
      <c r="JV26" s="388">
        <v>168.605506868095</v>
      </c>
      <c r="JW26" s="388">
        <v>164.64508823797</v>
      </c>
      <c r="JX26" s="388">
        <v>165.76256122965</v>
      </c>
      <c r="JY26" s="388">
        <v>175.744366388903</v>
      </c>
      <c r="JZ26" s="388">
        <v>153.944728630881</v>
      </c>
      <c r="KA26" s="388">
        <v>177.142133556779</v>
      </c>
    </row>
    <row r="27" ht="28.8" hidden="1" customHeight="1" spans="1:287">
      <c r="A27" s="28"/>
      <c r="B27" s="141" t="s">
        <v>209</v>
      </c>
      <c r="C27" s="163">
        <v>2574.3453</v>
      </c>
      <c r="D27" s="359">
        <f t="shared" si="76"/>
        <v>0.129495724550224</v>
      </c>
      <c r="E27" s="109">
        <v>2270.4778</v>
      </c>
      <c r="F27" s="359">
        <f t="shared" si="77"/>
        <v>0.0930844269981448</v>
      </c>
      <c r="G27" s="109">
        <v>2312.8897</v>
      </c>
      <c r="H27" s="359">
        <f t="shared" si="78"/>
        <v>0.0582582718060787</v>
      </c>
      <c r="I27" s="109">
        <v>2341.8271</v>
      </c>
      <c r="J27" s="359">
        <f t="shared" si="79"/>
        <v>0.0320148744506605</v>
      </c>
      <c r="K27" s="109">
        <v>2329.9036</v>
      </c>
      <c r="L27" s="359">
        <f t="shared" si="80"/>
        <v>0.0449958862236755</v>
      </c>
      <c r="M27" s="109">
        <v>2252.8378</v>
      </c>
      <c r="N27" s="359">
        <f t="shared" si="81"/>
        <v>-0.0307461038824146</v>
      </c>
      <c r="O27" s="109">
        <v>2284.0421</v>
      </c>
      <c r="P27" s="359">
        <f t="shared" si="82"/>
        <v>0.02998086453485</v>
      </c>
      <c r="Q27" s="127"/>
      <c r="R27" s="127"/>
      <c r="S27" s="109">
        <f t="shared" si="7"/>
        <v>16366.3234</v>
      </c>
      <c r="T27" s="359">
        <f t="shared" si="8"/>
        <v>-0.0789068622317105</v>
      </c>
      <c r="U27" s="359"/>
      <c r="V27" s="163">
        <v>2279.1988</v>
      </c>
      <c r="W27" s="359">
        <f t="shared" si="83"/>
        <v>0.147362454366242</v>
      </c>
      <c r="X27" s="93">
        <v>2077.1294</v>
      </c>
      <c r="Y27" s="402">
        <f t="shared" si="84"/>
        <v>0.114477681627351</v>
      </c>
      <c r="Z27" s="93">
        <v>2185.5626</v>
      </c>
      <c r="AA27" s="402">
        <f t="shared" si="85"/>
        <v>0.0643295882309314</v>
      </c>
      <c r="AB27" s="93">
        <v>2269.1796</v>
      </c>
      <c r="AC27" s="402">
        <f t="shared" si="86"/>
        <v>0.0616915623536283</v>
      </c>
      <c r="AD27" s="163">
        <v>2229.5816</v>
      </c>
      <c r="AE27" s="402">
        <f t="shared" si="87"/>
        <v>0.0112998358211744</v>
      </c>
      <c r="AF27" s="163">
        <v>2324.301</v>
      </c>
      <c r="AG27" s="402">
        <f t="shared" si="88"/>
        <v>-0.0720794688957723</v>
      </c>
      <c r="AH27" s="163">
        <v>2217.5578</v>
      </c>
      <c r="AI27" s="402">
        <f t="shared" si="89"/>
        <v>-0.0565924283464996</v>
      </c>
      <c r="AJ27" s="163">
        <v>2185.8589</v>
      </c>
      <c r="AK27" s="402">
        <f t="shared" si="90"/>
        <v>-0.0700957786600006</v>
      </c>
      <c r="AL27" s="163">
        <v>2215.595</v>
      </c>
      <c r="AM27" s="402">
        <f t="shared" si="91"/>
        <v>-0.0513909146969619</v>
      </c>
      <c r="AN27" s="163">
        <v>2222.7273</v>
      </c>
      <c r="AO27" s="402">
        <f t="shared" si="92"/>
        <v>-0.0873269968618756</v>
      </c>
      <c r="AP27" s="163">
        <v>2449.5953</v>
      </c>
      <c r="AQ27" s="402">
        <f t="shared" si="93"/>
        <v>-0.0968519389589312</v>
      </c>
      <c r="AR27" s="163">
        <v>2678.3547</v>
      </c>
      <c r="AS27" s="402">
        <f t="shared" si="94"/>
        <v>0.0572681606068974</v>
      </c>
      <c r="AT27" s="107">
        <f t="shared" si="21"/>
        <v>27334.642</v>
      </c>
      <c r="AU27" s="359">
        <f t="shared" si="22"/>
        <v>-0.00486764617320534</v>
      </c>
      <c r="AV27" s="360"/>
      <c r="AW27" s="488">
        <v>1986.468</v>
      </c>
      <c r="AX27" s="404">
        <v>0.28065630486313</v>
      </c>
      <c r="AY27" s="403">
        <v>1863.7694</v>
      </c>
      <c r="AZ27" s="405">
        <f t="shared" si="65"/>
        <v>0.045457447029305</v>
      </c>
      <c r="BA27" s="403">
        <v>2053.4641</v>
      </c>
      <c r="BB27" s="405">
        <f t="shared" si="66"/>
        <v>-0.0934229521861095</v>
      </c>
      <c r="BC27" s="403">
        <v>2137.3247</v>
      </c>
      <c r="BD27" s="405">
        <f t="shared" si="67"/>
        <v>-0.112111190161044</v>
      </c>
      <c r="BE27" s="406">
        <v>2204.6692</v>
      </c>
      <c r="BF27" s="405">
        <f t="shared" si="68"/>
        <v>-0.0908232319497931</v>
      </c>
      <c r="BG27" s="403">
        <v>2504.8492</v>
      </c>
      <c r="BH27" s="405">
        <f t="shared" si="69"/>
        <v>-0.166556077582762</v>
      </c>
      <c r="BI27" s="403">
        <v>2350.583</v>
      </c>
      <c r="BJ27" s="405">
        <f t="shared" si="70"/>
        <v>-0.0883135268473556</v>
      </c>
      <c r="BK27" s="163">
        <v>2350.628</v>
      </c>
      <c r="BL27" s="402">
        <f t="shared" si="71"/>
        <v>0.0192189379428109</v>
      </c>
      <c r="BM27" s="163">
        <v>2335.6249</v>
      </c>
      <c r="BN27" s="402">
        <f t="shared" si="72"/>
        <v>0.0102210040337474</v>
      </c>
      <c r="BO27" s="163">
        <v>2435.4038</v>
      </c>
      <c r="BP27" s="402">
        <f t="shared" si="73"/>
        <v>-0.0154538813590224</v>
      </c>
      <c r="BQ27" s="163">
        <v>2712.2854</v>
      </c>
      <c r="BR27" s="402">
        <f t="shared" si="74"/>
        <v>0.210657017186262</v>
      </c>
      <c r="BS27" s="163">
        <v>2533.2785</v>
      </c>
      <c r="BT27" s="402">
        <f t="shared" si="75"/>
        <v>0.184619345742084</v>
      </c>
      <c r="BU27" s="109">
        <f t="shared" si="34"/>
        <v>27468.3482</v>
      </c>
      <c r="BV27" s="359">
        <f t="shared" si="35"/>
        <v>-0.000623609075107501</v>
      </c>
      <c r="BW27" s="429"/>
      <c r="BX27" s="488">
        <v>1551.1328</v>
      </c>
      <c r="BY27" s="405">
        <f t="shared" si="36"/>
        <v>-0.0909228476422778</v>
      </c>
      <c r="BZ27" s="488">
        <v>1782.731</v>
      </c>
      <c r="CA27" s="405">
        <f t="shared" si="37"/>
        <v>0.130975208239005</v>
      </c>
      <c r="CB27" s="403">
        <v>2265.074</v>
      </c>
      <c r="CC27" s="404">
        <f t="shared" si="38"/>
        <v>0.234300846452052</v>
      </c>
      <c r="CD27" s="407">
        <v>2407.1986</v>
      </c>
      <c r="CE27" s="404">
        <v>1.67566789197774</v>
      </c>
      <c r="CF27" s="403">
        <v>2424.9071</v>
      </c>
      <c r="CG27" s="404">
        <f t="shared" si="39"/>
        <v>0.464047914901566</v>
      </c>
      <c r="CH27" s="403">
        <v>3005.4202</v>
      </c>
      <c r="CI27" s="404">
        <f t="shared" si="40"/>
        <v>0.358472023502213</v>
      </c>
      <c r="CJ27" s="403">
        <v>2578.28</v>
      </c>
      <c r="CK27" s="404">
        <f t="shared" si="41"/>
        <v>0.142951578427354</v>
      </c>
      <c r="CL27" s="407">
        <v>2306.3033</v>
      </c>
      <c r="CM27" s="404">
        <f t="shared" si="42"/>
        <v>0.0767574832156939</v>
      </c>
      <c r="CN27" s="407">
        <v>2311.994</v>
      </c>
      <c r="CO27" s="404">
        <f t="shared" si="43"/>
        <v>0.298712591629832</v>
      </c>
      <c r="CP27" s="407">
        <v>2473.631</v>
      </c>
      <c r="CQ27" s="404">
        <f t="shared" si="44"/>
        <v>0.328718722108322</v>
      </c>
      <c r="CR27" s="407">
        <v>2240.3417</v>
      </c>
      <c r="CS27" s="404">
        <f t="shared" si="45"/>
        <v>0.650619687371687</v>
      </c>
      <c r="CT27" s="407">
        <v>2138.4747</v>
      </c>
      <c r="CU27" s="404">
        <f t="shared" si="46"/>
        <v>0.846518677474606</v>
      </c>
      <c r="CV27" s="407">
        <f t="shared" si="47"/>
        <v>27485.4884</v>
      </c>
      <c r="CW27" s="404">
        <f t="shared" si="48"/>
        <v>0.344628586770323</v>
      </c>
      <c r="CX27" s="408">
        <f t="shared" si="49"/>
        <v>-0.0454694031718464</v>
      </c>
      <c r="CY27" s="408"/>
      <c r="CZ27" s="477">
        <v>1706.2719</v>
      </c>
      <c r="DA27" s="473">
        <v>1576.2777</v>
      </c>
      <c r="DB27" s="473">
        <v>1835.1069</v>
      </c>
      <c r="DC27" s="473">
        <v>899.6627</v>
      </c>
      <c r="DD27" s="448">
        <v>1656.3031</v>
      </c>
      <c r="DE27" s="448">
        <v>2212.3534</v>
      </c>
      <c r="DF27" s="448">
        <v>2255.8086</v>
      </c>
      <c r="DG27" s="448">
        <v>2141.8967</v>
      </c>
      <c r="DH27" s="448">
        <v>1780.2199</v>
      </c>
      <c r="DI27" s="448">
        <v>1861.6664</v>
      </c>
      <c r="DJ27" s="448">
        <v>1357.2731</v>
      </c>
      <c r="DK27" s="448">
        <v>1158.1116</v>
      </c>
      <c r="DL27" s="448">
        <v>20440.952</v>
      </c>
      <c r="DM27" s="449">
        <v>-0.15453972637142</v>
      </c>
      <c r="DN27" s="411"/>
      <c r="DO27" s="412">
        <v>2399.8951</v>
      </c>
      <c r="DP27" s="87">
        <f>(DO27-DX27)/DX27</f>
        <v>0.0234473507781589</v>
      </c>
      <c r="DQ27" s="424">
        <v>2414.3381</v>
      </c>
      <c r="DR27" s="304"/>
      <c r="DS27" s="424">
        <v>2226.0953</v>
      </c>
      <c r="DT27" s="104">
        <f t="shared" si="50"/>
        <v>14.2003776032776</v>
      </c>
      <c r="DU27" s="103"/>
      <c r="DV27" s="424">
        <v>2352.4863</v>
      </c>
      <c r="DW27" s="104">
        <f t="shared" si="51"/>
        <v>0.139184288937364</v>
      </c>
      <c r="DX27" s="424">
        <v>2344.9131</v>
      </c>
      <c r="DY27" s="104">
        <f t="shared" si="52"/>
        <v>0.358232462252192</v>
      </c>
      <c r="DZ27" s="424">
        <v>2147.4335</v>
      </c>
      <c r="EA27" s="104">
        <f t="shared" si="53"/>
        <v>0.238597341827231</v>
      </c>
      <c r="EB27" s="424">
        <v>2019.0132</v>
      </c>
      <c r="EC27" s="104">
        <f t="shared" si="54"/>
        <v>0.143531654635308</v>
      </c>
      <c r="ED27" s="424">
        <v>1090.1195</v>
      </c>
      <c r="EE27" s="104">
        <f t="shared" si="55"/>
        <v>-0.681067895834735</v>
      </c>
      <c r="EF27" s="424">
        <v>1675.3286</v>
      </c>
      <c r="EG27" s="104">
        <f t="shared" si="56"/>
        <v>-0.38498382494324</v>
      </c>
      <c r="EH27" s="424">
        <v>1958.0613</v>
      </c>
      <c r="EI27" s="104">
        <f t="shared" si="57"/>
        <v>-0.46127386034306</v>
      </c>
      <c r="EJ27" s="424">
        <v>1823.711</v>
      </c>
      <c r="EK27" s="104">
        <f t="shared" si="58"/>
        <v>-0.357041439640298</v>
      </c>
      <c r="EL27" s="424">
        <v>1725.9113</v>
      </c>
      <c r="EM27" s="104">
        <f t="shared" si="59"/>
        <v>-0.336022069206214</v>
      </c>
      <c r="EN27" s="93">
        <f t="shared" si="64"/>
        <v>24177.3063</v>
      </c>
      <c r="EO27" s="104">
        <f t="shared" si="60"/>
        <v>-0.160767556704607</v>
      </c>
      <c r="EP27" s="551">
        <v>6159.0481</v>
      </c>
      <c r="EQ27" s="104">
        <f>(EP27-FP27)/FP27</f>
        <v>-0.168199992493735</v>
      </c>
      <c r="ER27" s="424">
        <v>0</v>
      </c>
      <c r="ES27" s="104">
        <f>(ER27-FQ27)/FQ27</f>
        <v>-1</v>
      </c>
      <c r="ET27" s="424">
        <v>146.45</v>
      </c>
      <c r="EU27" s="104">
        <f>(ET27-FR27)/FR27</f>
        <v>-0.982105351738831</v>
      </c>
      <c r="EV27" s="424">
        <v>2065.0621</v>
      </c>
      <c r="EW27" s="104">
        <f>(EV27-FS27)/FS27</f>
        <v>-0.695399996808065</v>
      </c>
      <c r="EX27" s="424">
        <v>1726.4446</v>
      </c>
      <c r="EY27" s="104">
        <f>(EX27-FT27)/FT27</f>
        <v>-0.79139999837851</v>
      </c>
      <c r="EZ27" s="424">
        <v>1733.7624</v>
      </c>
      <c r="FA27" s="104">
        <f>(EZ27-FU27)/FU27</f>
        <v>-0.735999999269104</v>
      </c>
      <c r="FB27" s="424">
        <v>1765.5945</v>
      </c>
      <c r="FC27" s="104">
        <f>(FB27-FV27)/FV27</f>
        <v>-0.740699999391988</v>
      </c>
      <c r="FD27" s="424">
        <v>3418.03</v>
      </c>
      <c r="FE27" s="104">
        <f>(FD27-FW27)/FW27</f>
        <v>-0.480781693465013</v>
      </c>
      <c r="FF27" s="424">
        <v>2724.0399</v>
      </c>
      <c r="FG27" s="104">
        <f>(FF27-FX27)/FX27</f>
        <v>-0.615476697876308</v>
      </c>
      <c r="FH27" s="424">
        <v>3634.6135</v>
      </c>
      <c r="FI27" s="104">
        <f>(FH27-FY27)/FY27</f>
        <v>-0.44265825661249</v>
      </c>
      <c r="FJ27" s="424">
        <v>2836.4363</v>
      </c>
      <c r="FK27" s="104">
        <f>(FJ27-GA27)/GA27</f>
        <v>-0.474734018518519</v>
      </c>
      <c r="FL27" s="424">
        <v>2599.3504</v>
      </c>
      <c r="FM27" s="456">
        <f>(FL27-GC27)/GC27</f>
        <v>-0.728761077922417</v>
      </c>
      <c r="FN27" s="95">
        <v>28808.8318</v>
      </c>
      <c r="FO27" s="96">
        <f>(FN27-(FP27+FQ27+FR27+FS27+FT27+FU27+FV27+FW27+FX27+FY27+GA27+GC27))/(FP27+FQ27+FR27+FS27+FT27+FU27+FV27+FW27+FX27+FY27+GA27+GC27)</f>
        <v>-0.676534092814025</v>
      </c>
      <c r="FP27" s="532">
        <v>7404.4819</v>
      </c>
      <c r="FQ27" s="533">
        <v>9870.3624</v>
      </c>
      <c r="FR27" s="533">
        <v>8184.0111</v>
      </c>
      <c r="FS27" s="533">
        <v>6779.5866</v>
      </c>
      <c r="FT27" s="533">
        <v>8276.3403</v>
      </c>
      <c r="FU27" s="490">
        <v>6567.2818</v>
      </c>
      <c r="FV27" s="552">
        <v>6809.0802</v>
      </c>
      <c r="FW27" s="480">
        <v>6583.0306</v>
      </c>
      <c r="FX27" s="480">
        <v>7084.1998</v>
      </c>
      <c r="FY27" s="480">
        <v>6521.3373</v>
      </c>
      <c r="FZ27" s="491">
        <f>(FY27-HA27)/HA27</f>
        <v>-0.289798977330752</v>
      </c>
      <c r="GA27" s="480">
        <v>5400</v>
      </c>
      <c r="GB27" s="491">
        <f>(GA27-HC27)/HC27</f>
        <v>-0.297442214784795</v>
      </c>
      <c r="GC27" s="480">
        <v>9583.25</v>
      </c>
      <c r="GD27" s="491">
        <f>(GC27-HE27)/HE27</f>
        <v>-0.267136661238358</v>
      </c>
      <c r="GE27" s="492">
        <f>FP27+FQ27+FR27+FS27+FT27+FU27+FV27+FW27+FX27+FY27+GA27+GC27</f>
        <v>89062.962</v>
      </c>
      <c r="GF27" s="553">
        <f>(GE27-HG27)/HG27</f>
        <v>-0.234381266731439</v>
      </c>
      <c r="GG27" s="415"/>
      <c r="GH27" s="318"/>
      <c r="GI27" s="417">
        <v>8294.1915</v>
      </c>
      <c r="GJ27" s="104">
        <f>(GI27-HL27)/HL27</f>
        <v>-0.0423274231651191</v>
      </c>
      <c r="GK27" s="103">
        <v>11176.4331</v>
      </c>
      <c r="GL27" s="104">
        <f>(GK27-HN27)/HN27</f>
        <v>-0.0883201698751969</v>
      </c>
      <c r="GM27" s="424">
        <v>10213.9597</v>
      </c>
      <c r="GN27" s="104">
        <f>(GM27-HP27)/HP27</f>
        <v>-0.0429309923911495</v>
      </c>
      <c r="GO27" s="424">
        <v>8461.9337</v>
      </c>
      <c r="GP27" s="104">
        <f>(GO27-HR27)/HR27</f>
        <v>-0.0445081677350938</v>
      </c>
      <c r="GQ27" s="424">
        <v>10452.3092</v>
      </c>
      <c r="GR27" s="104">
        <f>(GQ27-HT27)/HT27</f>
        <v>-0.0428852292449617</v>
      </c>
      <c r="GS27" s="103">
        <v>9229.6049</v>
      </c>
      <c r="GT27" s="104">
        <f>(GS27-HW27)/HW27</f>
        <v>-0.0472864860845281</v>
      </c>
      <c r="GU27" s="103">
        <v>9565.4776</v>
      </c>
      <c r="GV27" s="104">
        <f>(GU27-HY27)/HY27</f>
        <v>-0.030194582932356</v>
      </c>
      <c r="GW27" s="103">
        <v>9181.3011</v>
      </c>
      <c r="GX27" s="104">
        <f>(GW27-IA27)/IA27</f>
        <v>-0.0502495638025472</v>
      </c>
      <c r="GY27" s="103">
        <v>9807.8437</v>
      </c>
      <c r="GZ27" s="104">
        <f>(GY27-IC27)/IC27</f>
        <v>-0.0640308172382734</v>
      </c>
      <c r="HA27" s="103">
        <v>9182.3823</v>
      </c>
      <c r="HB27" s="104">
        <f>(HA27-IE27)/IE27</f>
        <v>-0.0468986374373382</v>
      </c>
      <c r="HC27" s="103">
        <v>7686.2005</v>
      </c>
      <c r="HD27" s="104">
        <f>(HC27-IG27)/IG27</f>
        <v>-0.0513139489795485</v>
      </c>
      <c r="HE27" s="103">
        <v>13076.4489</v>
      </c>
      <c r="HF27" s="104">
        <f>(HE27-II27)/II27</f>
        <v>-0.0563123801315746</v>
      </c>
      <c r="HG27" s="414">
        <f>GI27+GK27+GM27+GO27+GQ27+GS27+GU27+GW27+GY27+HA27+HC27+HE27</f>
        <v>116328.0862</v>
      </c>
      <c r="HH27" s="103">
        <f>HE27+HC27+HA27+GY27+GW27+GU27+GS27+GQ27+GO27+GM27+GK27+GI27</f>
        <v>116328.0862</v>
      </c>
      <c r="HI27" s="394"/>
      <c r="HJ27" s="411"/>
      <c r="HK27" s="493"/>
      <c r="HL27" s="417">
        <v>8660.78</v>
      </c>
      <c r="HM27" s="418">
        <f>(HL27-IN27)/IN27</f>
        <v>-0.0119705078082664</v>
      </c>
      <c r="HN27" s="421">
        <v>12259.1646</v>
      </c>
      <c r="HO27" s="418">
        <f>(HN27-IP27)/IP27</f>
        <v>-0.0123047658334065</v>
      </c>
      <c r="HP27" s="421">
        <v>10672.1246</v>
      </c>
      <c r="HQ27" s="423">
        <f>(HP27-IR27)/IR27</f>
        <v>-0.0420786972709615</v>
      </c>
      <c r="HR27" s="439">
        <v>8856.1026</v>
      </c>
      <c r="HS27" s="304">
        <f>(HR27-IT27)/IT27</f>
        <v>-0.0430800665600552</v>
      </c>
      <c r="HT27" s="439">
        <v>10920.6435</v>
      </c>
      <c r="HU27" s="304">
        <f>(HT27-IV27)/IV27</f>
        <v>0.0262383439067869</v>
      </c>
      <c r="HV27" s="423"/>
      <c r="HW27" s="439">
        <v>9687.7023</v>
      </c>
      <c r="HX27" s="304">
        <f>(HW27-IX27)/IX27</f>
        <v>-0.0274367734163236</v>
      </c>
      <c r="HY27" s="439">
        <v>9863.2957</v>
      </c>
      <c r="HZ27" s="304">
        <f>(HY27-IZ27)/IZ27</f>
        <v>-0.0209924276337274</v>
      </c>
      <c r="IA27" s="439">
        <v>9667.067</v>
      </c>
      <c r="IB27" s="422">
        <f>(IA27-JB27)/JB27</f>
        <v>-0.0274903348279183</v>
      </c>
      <c r="IC27" s="439">
        <v>10478.8105</v>
      </c>
      <c r="ID27" s="425">
        <f>(IC27-JD27)/JD27</f>
        <v>-0.0378962701394474</v>
      </c>
      <c r="IE27" s="439">
        <v>9634.2138</v>
      </c>
      <c r="IF27" s="425">
        <f>(IE27-JF27)/JF27</f>
        <v>-0.0300606274162371</v>
      </c>
      <c r="IG27" s="439">
        <v>8101.9432</v>
      </c>
      <c r="IH27" s="309">
        <f>(IG27-JH27)/JH27</f>
        <v>-0.041746961233177</v>
      </c>
      <c r="II27" s="103">
        <v>13856.7558</v>
      </c>
      <c r="IJ27" s="309">
        <f>(II27-JJ27)/JJ27</f>
        <v>-0.0427099541183526</v>
      </c>
      <c r="IK27" s="391">
        <f>HL27+HN27+HP27+HR27+HT27+HW27+HY27+IA27+IC27+IE27+IG27+II27</f>
        <v>122658.6036</v>
      </c>
      <c r="IL27" s="104">
        <f>IK27/JL27-1</f>
        <v>-0.0260948416123488</v>
      </c>
      <c r="IM27" s="318"/>
      <c r="IN27" s="518">
        <v>8765.71</v>
      </c>
      <c r="IO27" s="104">
        <f>IN27/JP27-1</f>
        <v>-0.0595919445032559</v>
      </c>
      <c r="IP27" s="103">
        <v>12411.89</v>
      </c>
      <c r="IQ27" s="104">
        <f>IP27/JQ27-1</f>
        <v>-0.0400001713244083</v>
      </c>
      <c r="IR27" s="103">
        <v>11140.92</v>
      </c>
      <c r="IS27" s="394">
        <f>(IR27-JR27)/JR27</f>
        <v>-0.00600022853019971</v>
      </c>
      <c r="IT27" s="517">
        <v>9254.8</v>
      </c>
      <c r="IU27" s="304">
        <f>(IT27-JS27)/JS27</f>
        <v>-0.00732721261901362</v>
      </c>
      <c r="IV27" s="517">
        <v>10641.43</v>
      </c>
      <c r="IW27" s="304">
        <f>(IV27-JT27)/JT27</f>
        <v>-0.0341535108208919</v>
      </c>
      <c r="IX27" s="517">
        <v>9961</v>
      </c>
      <c r="IY27" s="104">
        <f>(IX27-JU27)/JU27</f>
        <v>-0.00468295729191129</v>
      </c>
      <c r="IZ27" s="517">
        <v>10074.79</v>
      </c>
      <c r="JA27" s="104">
        <f>(IZ27-JV27)/JV27</f>
        <v>-0.0496624089014702</v>
      </c>
      <c r="JB27" s="103">
        <v>9940.33</v>
      </c>
      <c r="JC27" s="104">
        <f>(JB27-JW27)/JW27</f>
        <v>-0.0378598907931624</v>
      </c>
      <c r="JD27" s="103">
        <v>10891.56</v>
      </c>
      <c r="JE27" s="394">
        <f>(JD27-JX27)/JX27</f>
        <v>-0.0380499410116439</v>
      </c>
      <c r="JF27" s="103">
        <v>9932.8</v>
      </c>
      <c r="JG27" s="418">
        <f>(JF27-JY27)/JY27</f>
        <v>-0.0146464141095178</v>
      </c>
      <c r="JH27" s="103">
        <v>8454.91</v>
      </c>
      <c r="JI27" s="418">
        <f>(JH27-JZ27)/JZ27</f>
        <v>-0.0432857062305756</v>
      </c>
      <c r="JJ27" s="103">
        <v>14474.9816</v>
      </c>
      <c r="JK27" s="418">
        <f>(JJ27-KA27)/KA27</f>
        <v>-0.0312949036107623</v>
      </c>
      <c r="JL27" s="399">
        <f t="shared" si="62"/>
        <v>125945.1216</v>
      </c>
      <c r="JM27" s="398">
        <f>JL27/JO27-1</f>
        <v>-0.0306151965548292</v>
      </c>
      <c r="JN27" s="400"/>
      <c r="JO27" s="518">
        <v>129922.731563765</v>
      </c>
      <c r="JP27" s="424">
        <v>9321.17706644884</v>
      </c>
      <c r="JQ27" s="424">
        <v>12929.0543906902</v>
      </c>
      <c r="JR27" s="424">
        <v>11208.1715909514</v>
      </c>
      <c r="JS27" s="424">
        <v>9323.11242702377</v>
      </c>
      <c r="JT27" s="424">
        <v>11017.7239542946</v>
      </c>
      <c r="JU27" s="424">
        <v>10007.8664109858</v>
      </c>
      <c r="JV27" s="424">
        <v>10601.2748462935</v>
      </c>
      <c r="JW27" s="424">
        <v>10331.4786535555</v>
      </c>
      <c r="JX27" s="424">
        <v>11322.3757285843</v>
      </c>
      <c r="JY27" s="424">
        <v>10080.4423328135</v>
      </c>
      <c r="JZ27" s="424">
        <v>8837.44505027506</v>
      </c>
      <c r="KA27" s="424">
        <v>14942.6091118486</v>
      </c>
    </row>
    <row r="28" s="286" customFormat="1" ht="28.8" customHeight="1" spans="1:287">
      <c r="A28" s="298" t="s">
        <v>99</v>
      </c>
      <c r="B28" s="164" t="s">
        <v>206</v>
      </c>
      <c r="C28" s="163">
        <v>39.055</v>
      </c>
      <c r="D28" s="402">
        <f t="shared" si="76"/>
        <v>-0.339186550572406</v>
      </c>
      <c r="E28" s="163">
        <v>40.8426</v>
      </c>
      <c r="F28" s="359">
        <f t="shared" si="77"/>
        <v>-0.273060267726037</v>
      </c>
      <c r="G28" s="163">
        <v>40.7877</v>
      </c>
      <c r="H28" s="359">
        <f t="shared" si="78"/>
        <v>-0.260702653029042</v>
      </c>
      <c r="I28" s="163">
        <v>41.5487</v>
      </c>
      <c r="J28" s="359">
        <f t="shared" si="79"/>
        <v>-0.255338253691165</v>
      </c>
      <c r="K28" s="163">
        <v>41.3523</v>
      </c>
      <c r="L28" s="359">
        <f t="shared" si="80"/>
        <v>-0.140797486738682</v>
      </c>
      <c r="M28" s="163">
        <v>35.2665</v>
      </c>
      <c r="N28" s="402">
        <f t="shared" si="81"/>
        <v>-0.294585350242029</v>
      </c>
      <c r="O28" s="163">
        <v>34.5624</v>
      </c>
      <c r="P28" s="402">
        <f t="shared" si="82"/>
        <v>-0.292280537223336</v>
      </c>
      <c r="Q28" s="127"/>
      <c r="R28" s="127"/>
      <c r="S28" s="109">
        <f t="shared" si="7"/>
        <v>273.4152</v>
      </c>
      <c r="T28" s="359">
        <f t="shared" si="8"/>
        <v>-0.349976713152397</v>
      </c>
      <c r="U28" s="359"/>
      <c r="V28" s="163">
        <v>59.1014</v>
      </c>
      <c r="W28" s="402">
        <f t="shared" si="83"/>
        <v>-0.124247255743379</v>
      </c>
      <c r="X28" s="163">
        <v>56.1843</v>
      </c>
      <c r="Y28" s="402">
        <f t="shared" si="84"/>
        <v>-0.106757944841993</v>
      </c>
      <c r="Z28" s="163">
        <v>55.1709</v>
      </c>
      <c r="AA28" s="402">
        <f t="shared" si="85"/>
        <v>-0.112327299231082</v>
      </c>
      <c r="AB28" s="163">
        <v>55.7954</v>
      </c>
      <c r="AC28" s="402">
        <f t="shared" si="86"/>
        <v>-0.116188080544397</v>
      </c>
      <c r="AD28" s="163">
        <v>48.1287</v>
      </c>
      <c r="AE28" s="402">
        <f t="shared" si="87"/>
        <v>-0.24924306119934</v>
      </c>
      <c r="AF28" s="163">
        <v>49.994</v>
      </c>
      <c r="AG28" s="402">
        <f t="shared" si="88"/>
        <v>-0.190280909067351</v>
      </c>
      <c r="AH28" s="163">
        <v>48.8363</v>
      </c>
      <c r="AI28" s="402">
        <f t="shared" si="89"/>
        <v>-0.223851064742782</v>
      </c>
      <c r="AJ28" s="163">
        <v>47.4127</v>
      </c>
      <c r="AK28" s="402">
        <f t="shared" si="90"/>
        <v>-0.24349805978913</v>
      </c>
      <c r="AL28" s="163">
        <v>47.5084</v>
      </c>
      <c r="AM28" s="402">
        <f t="shared" si="91"/>
        <v>-0.229347737927231</v>
      </c>
      <c r="AN28" s="163">
        <v>48.6599</v>
      </c>
      <c r="AO28" s="402">
        <f t="shared" si="92"/>
        <v>-0.272865701037506</v>
      </c>
      <c r="AP28" s="163">
        <v>46.5076</v>
      </c>
      <c r="AQ28" s="402">
        <f t="shared" si="93"/>
        <v>-0.237667808612127</v>
      </c>
      <c r="AR28" s="163">
        <v>45.0386</v>
      </c>
      <c r="AS28" s="402">
        <f t="shared" si="94"/>
        <v>-0.204655663825895</v>
      </c>
      <c r="AT28" s="93">
        <f t="shared" si="21"/>
        <v>608.3382</v>
      </c>
      <c r="AU28" s="402">
        <f t="shared" si="22"/>
        <v>-0.192451227209884</v>
      </c>
      <c r="AV28" s="360"/>
      <c r="AW28" s="372">
        <v>67.4864</v>
      </c>
      <c r="AX28" s="554">
        <v>0.239581286081381</v>
      </c>
      <c r="AY28" s="363">
        <v>62.8993</v>
      </c>
      <c r="AZ28" s="554">
        <f t="shared" si="65"/>
        <v>0.136552215126974</v>
      </c>
      <c r="BA28" s="363">
        <v>62.1523</v>
      </c>
      <c r="BB28" s="554">
        <f t="shared" si="66"/>
        <v>0.0403294784819619</v>
      </c>
      <c r="BC28" s="363">
        <v>63.1304</v>
      </c>
      <c r="BD28" s="554">
        <f t="shared" si="67"/>
        <v>0.0145015105740181</v>
      </c>
      <c r="BE28" s="363">
        <v>64.1069</v>
      </c>
      <c r="BF28" s="554">
        <f t="shared" si="68"/>
        <v>0.0263459133895707</v>
      </c>
      <c r="BG28" s="363">
        <v>61.7424</v>
      </c>
      <c r="BH28" s="554">
        <f t="shared" si="69"/>
        <v>-0.029070151436524</v>
      </c>
      <c r="BI28" s="363">
        <v>62.9213</v>
      </c>
      <c r="BJ28" s="554">
        <f t="shared" si="70"/>
        <v>-0.014049349790576</v>
      </c>
      <c r="BK28" s="363">
        <v>62.6736</v>
      </c>
      <c r="BL28" s="554">
        <f t="shared" si="71"/>
        <v>-0.0350083837203394</v>
      </c>
      <c r="BM28" s="363">
        <v>61.647</v>
      </c>
      <c r="BN28" s="554">
        <f t="shared" si="72"/>
        <v>-0.0519740352808924</v>
      </c>
      <c r="BO28" s="363">
        <v>66.9201</v>
      </c>
      <c r="BP28" s="554">
        <f t="shared" si="73"/>
        <v>-0.0332482924405098</v>
      </c>
      <c r="BQ28" s="363">
        <v>61.007</v>
      </c>
      <c r="BR28" s="554">
        <f t="shared" si="74"/>
        <v>-0.129941826883995</v>
      </c>
      <c r="BS28" s="363">
        <v>56.6278</v>
      </c>
      <c r="BT28" s="554">
        <f t="shared" si="75"/>
        <v>-0.158393945789131</v>
      </c>
      <c r="BU28" s="363">
        <f t="shared" si="34"/>
        <v>753.3145</v>
      </c>
      <c r="BV28" s="554">
        <f t="shared" si="35"/>
        <v>-0.00647696496622718</v>
      </c>
      <c r="BW28" s="364"/>
      <c r="BX28" s="372">
        <v>54.4429</v>
      </c>
      <c r="BY28" s="554">
        <f t="shared" si="36"/>
        <v>-0.0643202590340533</v>
      </c>
      <c r="BZ28" s="372">
        <v>55.3422</v>
      </c>
      <c r="CA28" s="554">
        <f t="shared" si="37"/>
        <v>-0.0625860687601526</v>
      </c>
      <c r="CB28" s="363">
        <v>59.7429</v>
      </c>
      <c r="CC28" s="554">
        <f t="shared" si="38"/>
        <v>0.0782029139302325</v>
      </c>
      <c r="CD28" s="363">
        <v>62.228</v>
      </c>
      <c r="CE28" s="554">
        <v>0.205641880110048</v>
      </c>
      <c r="CF28" s="363">
        <v>62.4613</v>
      </c>
      <c r="CG28" s="554">
        <f t="shared" si="39"/>
        <v>0.120054584937498</v>
      </c>
      <c r="CH28" s="363">
        <v>63.591</v>
      </c>
      <c r="CI28" s="554">
        <f t="shared" si="40"/>
        <v>0.0572561981272612</v>
      </c>
      <c r="CJ28" s="363">
        <v>63.8179</v>
      </c>
      <c r="CK28" s="554">
        <f t="shared" si="41"/>
        <v>0.0370756170331705</v>
      </c>
      <c r="CL28" s="363">
        <v>64.9473</v>
      </c>
      <c r="CM28" s="554">
        <f t="shared" si="42"/>
        <v>0.0507758591400267</v>
      </c>
      <c r="CN28" s="363">
        <f>58.8355+CN30</f>
        <v>65.0267</v>
      </c>
      <c r="CO28" s="554">
        <f t="shared" si="43"/>
        <v>0.0683443190704951</v>
      </c>
      <c r="CP28" s="363">
        <f>62.4026+CP30</f>
        <v>69.2216</v>
      </c>
      <c r="CQ28" s="554">
        <f t="shared" si="44"/>
        <v>0.58311987704918</v>
      </c>
      <c r="CR28" s="363">
        <v>70.1183</v>
      </c>
      <c r="CS28" s="554">
        <f t="shared" si="45"/>
        <v>0.669272687018067</v>
      </c>
      <c r="CT28" s="363">
        <v>67.2854</v>
      </c>
      <c r="CU28" s="554">
        <f t="shared" si="46"/>
        <v>0.675070390627528</v>
      </c>
      <c r="CV28" s="363">
        <f t="shared" si="47"/>
        <v>758.2255</v>
      </c>
      <c r="CW28" s="554">
        <f t="shared" si="48"/>
        <v>0.166015348072018</v>
      </c>
      <c r="CX28" s="365">
        <f t="shared" si="49"/>
        <v>-0.0404017210913558</v>
      </c>
      <c r="CY28" s="365"/>
      <c r="CZ28" s="453">
        <v>58.1854</v>
      </c>
      <c r="DA28" s="450">
        <v>59.0371</v>
      </c>
      <c r="DB28" s="450">
        <v>55.4097</v>
      </c>
      <c r="DC28" s="450">
        <v>51.614</v>
      </c>
      <c r="DD28" s="108">
        <v>55.7663</v>
      </c>
      <c r="DE28" s="108">
        <v>60.1472</v>
      </c>
      <c r="DF28" s="108">
        <v>61.5364</v>
      </c>
      <c r="DG28" s="108">
        <v>61.8089</v>
      </c>
      <c r="DH28" s="108">
        <v>60.8668</v>
      </c>
      <c r="DI28" s="108">
        <v>43.7248</v>
      </c>
      <c r="DJ28" s="108">
        <v>42.0053</v>
      </c>
      <c r="DK28" s="108">
        <v>40.1687</v>
      </c>
      <c r="DL28" s="108">
        <v>650.2706</v>
      </c>
      <c r="DM28" s="368">
        <v>0.121126439056618</v>
      </c>
      <c r="DN28" s="369"/>
      <c r="DO28" s="370">
        <v>50.2478</v>
      </c>
      <c r="DP28" s="371">
        <f>(DO28-DX28)/DX28</f>
        <v>-0.00155982061069471</v>
      </c>
      <c r="DQ28" s="388">
        <v>46.5906</v>
      </c>
      <c r="DR28" s="532"/>
      <c r="DS28" s="388">
        <v>49.1175</v>
      </c>
      <c r="DT28" s="373">
        <f t="shared" si="50"/>
        <v>3.29194956353055</v>
      </c>
      <c r="DU28" s="374"/>
      <c r="DV28" s="388">
        <v>49.2572</v>
      </c>
      <c r="DW28" s="373">
        <f t="shared" si="51"/>
        <v>0.633152966764807</v>
      </c>
      <c r="DX28" s="388">
        <v>50.3263</v>
      </c>
      <c r="DY28" s="373">
        <f t="shared" si="52"/>
        <v>-0.0471084535817004</v>
      </c>
      <c r="DZ28" s="388">
        <v>49.0023</v>
      </c>
      <c r="EA28" s="373">
        <f t="shared" si="53"/>
        <v>-0.400825354902608</v>
      </c>
      <c r="EB28" s="388">
        <v>49.8045</v>
      </c>
      <c r="EC28" s="373">
        <f t="shared" si="54"/>
        <v>-0.415120928675862</v>
      </c>
      <c r="ED28" s="388">
        <v>15.1727</v>
      </c>
      <c r="EE28" s="373">
        <f t="shared" si="55"/>
        <v>-0.734169053813741</v>
      </c>
      <c r="EF28" s="388">
        <v>49.9943</v>
      </c>
      <c r="EG28" s="373">
        <f t="shared" si="56"/>
        <v>-0.10331202559798</v>
      </c>
      <c r="EH28" s="388">
        <v>55.0004</v>
      </c>
      <c r="EI28" s="373">
        <f t="shared" si="57"/>
        <v>-0.110149720265465</v>
      </c>
      <c r="EJ28" s="388">
        <v>53.9605</v>
      </c>
      <c r="EK28" s="373">
        <f t="shared" si="58"/>
        <v>-0.0786078843523592</v>
      </c>
      <c r="EL28" s="388">
        <v>61.5413</v>
      </c>
      <c r="EM28" s="373">
        <f t="shared" si="59"/>
        <v>0.0832104171873735</v>
      </c>
      <c r="EN28" s="372">
        <f t="shared" si="64"/>
        <v>580.0154</v>
      </c>
      <c r="EO28" s="373">
        <f t="shared" si="60"/>
        <v>-0.178539547242848</v>
      </c>
      <c r="EP28" s="533">
        <v>154.7052</v>
      </c>
      <c r="EQ28" s="373">
        <f>(EP28-FP28)/FP28</f>
        <v>-0.0366754651916529</v>
      </c>
      <c r="ER28" s="388">
        <v>0</v>
      </c>
      <c r="ES28" s="373">
        <f>(ER28-FQ28)/FQ28</f>
        <v>-1</v>
      </c>
      <c r="ET28" s="388">
        <v>11.4441</v>
      </c>
      <c r="EU28" s="373">
        <f>(ET28-FR28)/FR28</f>
        <v>-0.928682755075015</v>
      </c>
      <c r="EV28" s="388">
        <v>30.1608</v>
      </c>
      <c r="EW28" s="373">
        <f>(EV28-FS28)/FS28</f>
        <v>-0.80156441517992</v>
      </c>
      <c r="EX28" s="388">
        <v>52.8143</v>
      </c>
      <c r="EY28" s="373">
        <f>(EX28-FT28)/FT28</f>
        <v>-0.648341894910661</v>
      </c>
      <c r="EZ28" s="388">
        <v>81.783</v>
      </c>
      <c r="FA28" s="373">
        <f>(EZ28-FU28)/FU28</f>
        <v>-0.459406400028556</v>
      </c>
      <c r="FB28" s="388">
        <v>85.1535</v>
      </c>
      <c r="FC28" s="373">
        <f>(FB28-FV28)/FV28</f>
        <v>-0.429841975966634</v>
      </c>
      <c r="FD28" s="388">
        <v>57.0765</v>
      </c>
      <c r="FE28" s="373">
        <f>(FD28-FW28)/FW28</f>
        <v>-0.617998666795168</v>
      </c>
      <c r="FF28" s="388">
        <v>55.7544</v>
      </c>
      <c r="FG28" s="373">
        <f>(FF28-FX28)/FX28</f>
        <v>-0.626361077603538</v>
      </c>
      <c r="FH28" s="388">
        <v>61.8086</v>
      </c>
      <c r="FI28" s="373">
        <f>(FH28-FY28)/FY28</f>
        <v>-0.594378527365796</v>
      </c>
      <c r="FJ28" s="388">
        <v>58.5641</v>
      </c>
      <c r="FK28" s="373">
        <f>(FJ28-GA28)/GA28</f>
        <v>-0.612247384210383</v>
      </c>
      <c r="FL28" s="388">
        <v>56.8138</v>
      </c>
      <c r="FM28" s="431">
        <f>(FL28-GC28)/GC28</f>
        <v>-0.605443282358987</v>
      </c>
      <c r="FN28" s="359">
        <v>706.0783</v>
      </c>
      <c r="FO28" s="358">
        <f>(FN28-(FP28+FQ28+FR28+FS28+FT28+FU28+FV28+FW28+FX28+FY28+GA28+GC28))/(FP28+FQ28+FR28+FS28+FT28+FU28+FV28+FW28+FX28+FY28+GA28+GC28)</f>
        <v>-0.614956852956168</v>
      </c>
      <c r="FP28" s="512">
        <v>160.5951</v>
      </c>
      <c r="FQ28" s="512">
        <v>163.8446</v>
      </c>
      <c r="FR28" s="512">
        <v>160.4675</v>
      </c>
      <c r="FS28" s="512">
        <v>151.9929</v>
      </c>
      <c r="FT28" s="512">
        <v>150.1865</v>
      </c>
      <c r="FU28" s="512">
        <v>151.2837</v>
      </c>
      <c r="FV28" s="555">
        <v>149.3507</v>
      </c>
      <c r="FW28" s="556">
        <v>149.4144</v>
      </c>
      <c r="FX28" s="557">
        <v>149.22</v>
      </c>
      <c r="FY28" s="557">
        <v>152.38</v>
      </c>
      <c r="FZ28" s="373">
        <f>(FY28-HA28)/HA28</f>
        <v>-0.0979193775063551</v>
      </c>
      <c r="GA28" s="557">
        <v>151.0347</v>
      </c>
      <c r="GB28" s="373">
        <f>(GA28-HC28)/HC28</f>
        <v>-0.0920956530991199</v>
      </c>
      <c r="GC28" s="557">
        <v>143.994</v>
      </c>
      <c r="GD28" s="373">
        <f>(GC28-HE28)/HE28</f>
        <v>-0.0990785817654666</v>
      </c>
      <c r="GE28" s="374">
        <f>FP28+FQ28+FR28+FS28+FT28+FU28+FV28+FW28+FX28+FY28+GA28+GC28</f>
        <v>1833.7641</v>
      </c>
      <c r="GF28" s="373">
        <f>(GE28-HG28)/HG28</f>
        <v>-0.173220652647272</v>
      </c>
      <c r="GG28" s="317"/>
      <c r="GH28" s="536"/>
      <c r="GI28" s="379">
        <v>262.7942</v>
      </c>
      <c r="GJ28" s="376">
        <f>(GI28-HL28)/HL28</f>
        <v>0</v>
      </c>
      <c r="GK28" s="375">
        <v>202.0814</v>
      </c>
      <c r="GL28" s="376">
        <f>(GK28-HN28)/HN28</f>
        <v>-0.42196743097367</v>
      </c>
      <c r="GM28" s="375">
        <v>200.005</v>
      </c>
      <c r="GN28" s="376">
        <f>(GM28-HP28)/HP28</f>
        <v>-0.295429069447116</v>
      </c>
      <c r="GO28" s="375">
        <v>184.6344</v>
      </c>
      <c r="GP28" s="376">
        <f>(GO28-HR28)/HR28</f>
        <v>-0.177922561910355</v>
      </c>
      <c r="GQ28" s="375">
        <v>183.255</v>
      </c>
      <c r="GR28" s="376">
        <f>(GQ28-HT28)/HT28</f>
        <v>-0.171292454557993</v>
      </c>
      <c r="GS28" s="375">
        <v>181.5575</v>
      </c>
      <c r="GT28" s="376">
        <f>(GS28-HW28)/HW28</f>
        <v>-0.237153361344538</v>
      </c>
      <c r="GU28" s="375">
        <v>169.7079</v>
      </c>
      <c r="GV28" s="376">
        <f>(GU28-HY28)/HY28</f>
        <v>-0.268500431034483</v>
      </c>
      <c r="GW28" s="375">
        <v>169.8955</v>
      </c>
      <c r="GX28" s="376">
        <f>(GW28-IA28)/IA28</f>
        <v>-0.236424719101124</v>
      </c>
      <c r="GY28" s="375">
        <v>168.9242</v>
      </c>
      <c r="GZ28" s="376">
        <f>(GY28-IC28)/IC28</f>
        <v>-0.257605269588239</v>
      </c>
      <c r="HA28" s="375">
        <v>168.9206</v>
      </c>
      <c r="HB28" s="376">
        <f>(HA28-IE28)/IE28</f>
        <v>-0.292177355622209</v>
      </c>
      <c r="HC28" s="375">
        <v>166.3553</v>
      </c>
      <c r="HD28" s="376">
        <f>(HC28-IG28)/IG28</f>
        <v>-0.199198501944776</v>
      </c>
      <c r="HE28" s="375">
        <v>159.8297</v>
      </c>
      <c r="HF28" s="376">
        <f>(HE28-II28)/II28</f>
        <v>-0.302767994011375</v>
      </c>
      <c r="HG28" s="375">
        <f>GI28+GK28+GM28+GO28+GQ28+GS28+GU28+GW28+GY28+HA28+HC28+HE28</f>
        <v>2217.9607</v>
      </c>
      <c r="HH28" s="375">
        <f>HE28+HC28+HA28+GY28+GW28+GU28+GS28+GQ28+GO28+GM28+GK28+GI28</f>
        <v>2217.9607</v>
      </c>
      <c r="HI28" s="377"/>
      <c r="HJ28" s="369"/>
      <c r="HK28" s="485"/>
      <c r="HL28" s="379">
        <v>262.7942</v>
      </c>
      <c r="HM28" s="380">
        <f>(HL28-IN28)/IN28</f>
        <v>0.0080001227424498</v>
      </c>
      <c r="HN28" s="462">
        <v>349.6021</v>
      </c>
      <c r="HO28" s="380">
        <f>(HN28-IP28)/IP28</f>
        <v>-0.0120000576518242</v>
      </c>
      <c r="HP28" s="462">
        <v>283.8678</v>
      </c>
      <c r="HQ28" s="466">
        <f>(HP28-IR28)/IR28</f>
        <v>-0.00800015096602539</v>
      </c>
      <c r="HR28" s="464">
        <v>224.5949</v>
      </c>
      <c r="HS28" s="465">
        <f>(HR28-IT28)/IT28</f>
        <v>-0.00400005498966955</v>
      </c>
      <c r="HT28" s="464">
        <v>221.1335</v>
      </c>
      <c r="HU28" s="465">
        <f>(HT28-IV28)/IV28</f>
        <v>-0.00100020374520731</v>
      </c>
      <c r="HV28" s="466"/>
      <c r="HW28" s="464">
        <v>238</v>
      </c>
      <c r="HX28" s="465">
        <f>(HW28-IX28)/IX28</f>
        <v>-0.00410617901902787</v>
      </c>
      <c r="HY28" s="558">
        <v>232</v>
      </c>
      <c r="HZ28" s="465">
        <f>(HY28-IZ28)/IZ28</f>
        <v>-0.00646397960852968</v>
      </c>
      <c r="IA28" s="558">
        <v>222.5</v>
      </c>
      <c r="IB28" s="390">
        <f>(IA28-JB28)/JB28</f>
        <v>-0.000893134182521822</v>
      </c>
      <c r="IC28" s="558">
        <v>227.5396</v>
      </c>
      <c r="ID28" s="390">
        <f>(IC28-JD28)/JD28</f>
        <v>0.0138045003303759</v>
      </c>
      <c r="IE28" s="558">
        <v>238.6482</v>
      </c>
      <c r="IF28" s="390">
        <f>(IE28-JF28)/JF28</f>
        <v>0.0453076351142456</v>
      </c>
      <c r="IG28" s="558">
        <v>207.736</v>
      </c>
      <c r="IH28" s="390" t="e">
        <f>(IG28-JH28)/JH28</f>
        <v>#REF!</v>
      </c>
      <c r="II28" s="559">
        <v>229.2346</v>
      </c>
      <c r="IJ28" s="309">
        <f>(II28-JJ28)/JJ28</f>
        <v>-0.076945440488678</v>
      </c>
      <c r="IK28" s="391">
        <f>HL28+HN28+HP28+HR28+HT28+HW28+HY28+IA28+IC28+IE28+IG28+II28</f>
        <v>2937.6509</v>
      </c>
      <c r="IL28" s="104"/>
      <c r="IM28" s="318"/>
      <c r="IN28" s="537">
        <v>260.7085</v>
      </c>
      <c r="IO28" s="300">
        <f>IN28/JP28-1</f>
        <v>0.0500000278446802</v>
      </c>
      <c r="IP28" s="414">
        <v>353.8483</v>
      </c>
      <c r="IQ28" s="300">
        <f>IP28/JQ28-1</f>
        <v>0.0389997416253702</v>
      </c>
      <c r="IR28" s="560">
        <v>286.1571</v>
      </c>
      <c r="IS28" s="394">
        <f>(IR28-JR28)/JR28</f>
        <v>0.0459435070308328</v>
      </c>
      <c r="IT28" s="561">
        <v>225.4969</v>
      </c>
      <c r="IU28" s="300">
        <f>(IT28-JS28)/JS28</f>
        <v>0.0450001691295887</v>
      </c>
      <c r="IV28" s="561">
        <v>221.3549</v>
      </c>
      <c r="IW28" s="300">
        <f>(IV28-JT28)/JT28</f>
        <v>0.0300001528416434</v>
      </c>
      <c r="IX28" s="561">
        <v>238.9813</v>
      </c>
      <c r="IY28" s="413">
        <f>(IX28-JU28)/JU28</f>
        <v>0.0409999377325844</v>
      </c>
      <c r="IZ28" s="561">
        <v>233.5094</v>
      </c>
      <c r="JA28" s="413">
        <f>(IZ28-JV28)/JV28</f>
        <v>0.0209999870337504</v>
      </c>
      <c r="JB28" s="414">
        <v>222.6989</v>
      </c>
      <c r="JC28" s="413">
        <f>(JB28-JW28)/JW28</f>
        <v>0.00860556369608534</v>
      </c>
      <c r="JD28" s="414">
        <v>224.4413</v>
      </c>
      <c r="JE28" s="469">
        <f>(JD28-JX28)/JX28</f>
        <v>0.0120001323794882</v>
      </c>
      <c r="JF28" s="424">
        <v>228.304273290721</v>
      </c>
      <c r="JG28" s="418">
        <f>(JF28-JY28)/JY28</f>
        <v>0</v>
      </c>
      <c r="JH28" s="487" t="e">
        <f>JZ28*#REF!</f>
        <v>#REF!</v>
      </c>
      <c r="JI28" s="398" t="e">
        <f>(JH28-JZ28)/JZ28</f>
        <v>#REF!</v>
      </c>
      <c r="JJ28" s="472">
        <v>248.3435</v>
      </c>
      <c r="JK28" s="398">
        <f>(JJ28-KA28)/KA28</f>
        <v>0.0179998898655098</v>
      </c>
      <c r="JL28" s="399" t="e">
        <f t="shared" si="62"/>
        <v>#REF!</v>
      </c>
      <c r="JM28" s="398"/>
      <c r="JN28" s="400"/>
      <c r="JO28" s="528">
        <v>2871.32422566205</v>
      </c>
      <c r="JP28" s="388">
        <v>248.29380293937</v>
      </c>
      <c r="JQ28" s="388">
        <v>340.566302207596</v>
      </c>
      <c r="JR28" s="388">
        <v>273.587529418608</v>
      </c>
      <c r="JS28" s="388">
        <v>215.786472252749</v>
      </c>
      <c r="JT28" s="388">
        <v>214.90763801278</v>
      </c>
      <c r="JU28" s="388">
        <v>229.56898587384</v>
      </c>
      <c r="JV28" s="388">
        <v>228.7065650984</v>
      </c>
      <c r="JW28" s="388">
        <v>220.798801846689</v>
      </c>
      <c r="JX28" s="388">
        <v>221.779911700483</v>
      </c>
      <c r="JY28" s="388">
        <v>228.304273290721</v>
      </c>
      <c r="JZ28" s="388">
        <v>205.071559064453</v>
      </c>
      <c r="KA28" s="388">
        <v>243.952383956357</v>
      </c>
    </row>
    <row r="29" ht="28.8" customHeight="1" spans="1:287">
      <c r="A29" s="401"/>
      <c r="B29" s="141" t="s">
        <v>209</v>
      </c>
      <c r="C29" s="163">
        <v>2914.7385</v>
      </c>
      <c r="D29" s="402">
        <f t="shared" si="76"/>
        <v>-0.288585165740723</v>
      </c>
      <c r="E29" s="163">
        <v>3370.793718</v>
      </c>
      <c r="F29" s="359">
        <f t="shared" si="77"/>
        <v>-0.146439565856293</v>
      </c>
      <c r="G29" s="163">
        <v>3406.832473</v>
      </c>
      <c r="H29" s="359">
        <f t="shared" si="78"/>
        <v>-0.199467070043567</v>
      </c>
      <c r="I29" s="163">
        <v>3476.813709</v>
      </c>
      <c r="J29" s="359">
        <f t="shared" si="79"/>
        <v>-0.237051830282796</v>
      </c>
      <c r="K29" s="163">
        <v>3514.446795</v>
      </c>
      <c r="L29" s="359">
        <f t="shared" si="80"/>
        <v>-0.0775268960298409</v>
      </c>
      <c r="M29" s="163">
        <v>3038.760275</v>
      </c>
      <c r="N29" s="402">
        <f t="shared" si="81"/>
        <v>-0.192301246176285</v>
      </c>
      <c r="O29" s="163">
        <v>3042.88102</v>
      </c>
      <c r="P29" s="402">
        <f t="shared" si="82"/>
        <v>-0.212342121226193</v>
      </c>
      <c r="Q29" s="127"/>
      <c r="R29" s="127"/>
      <c r="S29" s="109">
        <f t="shared" si="7"/>
        <v>22765.26649</v>
      </c>
      <c r="T29" s="359">
        <f t="shared" si="8"/>
        <v>-0.29142229936988</v>
      </c>
      <c r="U29" s="359"/>
      <c r="V29" s="163">
        <v>4097.1011</v>
      </c>
      <c r="W29" s="402">
        <f t="shared" si="83"/>
        <v>-0.02819078518468</v>
      </c>
      <c r="X29" s="93">
        <v>3949.0979</v>
      </c>
      <c r="Y29" s="402">
        <f t="shared" si="84"/>
        <v>-0.0720586297782656</v>
      </c>
      <c r="Z29" s="93">
        <v>4255.7056</v>
      </c>
      <c r="AA29" s="402">
        <f t="shared" si="85"/>
        <v>-0.0285273636045149</v>
      </c>
      <c r="AB29" s="93">
        <v>4557.0772</v>
      </c>
      <c r="AC29" s="402">
        <f t="shared" si="86"/>
        <v>-0.0373947531404016</v>
      </c>
      <c r="AD29" s="163">
        <v>3809.8095</v>
      </c>
      <c r="AE29" s="402">
        <f t="shared" si="87"/>
        <v>-0.20312199783163</v>
      </c>
      <c r="AF29" s="163">
        <v>3762.2446</v>
      </c>
      <c r="AG29" s="402">
        <f t="shared" si="88"/>
        <v>-0.135034877186501</v>
      </c>
      <c r="AH29" s="163">
        <v>3863.2014</v>
      </c>
      <c r="AI29" s="402">
        <f t="shared" si="89"/>
        <v>-0.147066223046473</v>
      </c>
      <c r="AJ29" s="163">
        <v>3833.8786</v>
      </c>
      <c r="AK29" s="402">
        <f t="shared" si="90"/>
        <v>-0.166638459579142</v>
      </c>
      <c r="AL29" s="163">
        <v>4060.267</v>
      </c>
      <c r="AM29" s="402">
        <f t="shared" si="91"/>
        <v>-0.0869129109602758</v>
      </c>
      <c r="AN29" s="163">
        <v>3956.287441</v>
      </c>
      <c r="AO29" s="402">
        <f t="shared" si="92"/>
        <v>-0.264870761275633</v>
      </c>
      <c r="AP29" s="163">
        <v>3699.532092</v>
      </c>
      <c r="AQ29" s="402">
        <f t="shared" si="93"/>
        <v>-0.220925584181761</v>
      </c>
      <c r="AR29" s="163">
        <v>3376.6286</v>
      </c>
      <c r="AS29" s="402">
        <f t="shared" si="94"/>
        <v>-0.173149634332527</v>
      </c>
      <c r="AT29" s="93">
        <f t="shared" si="21"/>
        <v>47220.831033</v>
      </c>
      <c r="AU29" s="402">
        <f t="shared" si="22"/>
        <v>-0.133684640600996</v>
      </c>
      <c r="AV29" s="360"/>
      <c r="AW29" s="93">
        <v>4215.9521</v>
      </c>
      <c r="AX29" s="402">
        <v>0.383358850512859</v>
      </c>
      <c r="AY29" s="163">
        <v>4255.7623</v>
      </c>
      <c r="AZ29" s="402">
        <f t="shared" si="65"/>
        <v>0.187171532491403</v>
      </c>
      <c r="BA29" s="163">
        <v>4380.6747</v>
      </c>
      <c r="BB29" s="402">
        <f t="shared" si="66"/>
        <v>0.0609113180834269</v>
      </c>
      <c r="BC29" s="163">
        <v>4734.108</v>
      </c>
      <c r="BD29" s="402">
        <f t="shared" si="67"/>
        <v>-0.022187735424</v>
      </c>
      <c r="BE29" s="163">
        <v>4780.9194</v>
      </c>
      <c r="BF29" s="402">
        <f t="shared" si="68"/>
        <v>0.0337753127050058</v>
      </c>
      <c r="BG29" s="163">
        <v>4349.5911</v>
      </c>
      <c r="BH29" s="402">
        <f t="shared" si="69"/>
        <v>-0.0942834040004453</v>
      </c>
      <c r="BI29" s="163">
        <v>4529.3099</v>
      </c>
      <c r="BJ29" s="402">
        <f t="shared" si="70"/>
        <v>-0.0217161139244116</v>
      </c>
      <c r="BK29" s="163">
        <v>4600.4986</v>
      </c>
      <c r="BL29" s="402">
        <f t="shared" si="71"/>
        <v>-0.0194265712268571</v>
      </c>
      <c r="BM29" s="163">
        <v>4446.7467</v>
      </c>
      <c r="BN29" s="402">
        <f t="shared" si="72"/>
        <v>-0.0325954918209417</v>
      </c>
      <c r="BO29" s="163">
        <v>5381.7577</v>
      </c>
      <c r="BP29" s="402">
        <f t="shared" si="73"/>
        <v>0.101906109032028</v>
      </c>
      <c r="BQ29" s="163">
        <v>4748.6248</v>
      </c>
      <c r="BR29" s="402">
        <f t="shared" si="74"/>
        <v>-0.121175327752643</v>
      </c>
      <c r="BS29" s="163">
        <v>4083.7239</v>
      </c>
      <c r="BT29" s="402">
        <f t="shared" si="75"/>
        <v>-0.0873040618989146</v>
      </c>
      <c r="BU29" s="163">
        <f t="shared" si="34"/>
        <v>54507.6692</v>
      </c>
      <c r="BV29" s="402">
        <f t="shared" si="35"/>
        <v>0.0148505893778517</v>
      </c>
      <c r="BW29" s="429"/>
      <c r="BX29" s="93">
        <v>3047.62</v>
      </c>
      <c r="BY29" s="402">
        <f t="shared" si="36"/>
        <v>-0.224401644276047</v>
      </c>
      <c r="BZ29" s="93">
        <v>3584.7914</v>
      </c>
      <c r="CA29" s="402">
        <f t="shared" si="37"/>
        <v>-0.132642825552558</v>
      </c>
      <c r="CB29" s="163">
        <v>4129.162</v>
      </c>
      <c r="CC29" s="402">
        <f t="shared" si="38"/>
        <v>0.199345367270949</v>
      </c>
      <c r="CD29" s="163">
        <v>4841.5306</v>
      </c>
      <c r="CE29" s="402">
        <v>0.525584320625248</v>
      </c>
      <c r="CF29" s="163">
        <v>4624.7181</v>
      </c>
      <c r="CG29" s="402">
        <f t="shared" si="39"/>
        <v>0.323991138561161</v>
      </c>
      <c r="CH29" s="163">
        <v>4802.3754</v>
      </c>
      <c r="CI29" s="402">
        <f t="shared" si="40"/>
        <v>0.158086728291871</v>
      </c>
      <c r="CJ29" s="163">
        <v>4629.8523</v>
      </c>
      <c r="CK29" s="402">
        <f t="shared" si="41"/>
        <v>0.0163122797813713</v>
      </c>
      <c r="CL29" s="163">
        <v>4691.6411</v>
      </c>
      <c r="CM29" s="402">
        <f t="shared" si="42"/>
        <v>0.0611147480467571</v>
      </c>
      <c r="CN29" s="163">
        <f>4424.2155+CN31</f>
        <v>4596.5743</v>
      </c>
      <c r="CO29" s="402">
        <f t="shared" si="43"/>
        <v>0.112038922886325</v>
      </c>
      <c r="CP29" s="163">
        <f>4700.3884+CP31</f>
        <v>4884.0438</v>
      </c>
      <c r="CQ29" s="402">
        <f t="shared" si="44"/>
        <v>0.863687444254914</v>
      </c>
      <c r="CR29" s="163">
        <v>5403.3813</v>
      </c>
      <c r="CS29" s="402">
        <f t="shared" si="45"/>
        <v>1.18292893890073</v>
      </c>
      <c r="CT29" s="163">
        <v>4474.3531</v>
      </c>
      <c r="CU29" s="402">
        <f t="shared" si="46"/>
        <v>1.01679955202998</v>
      </c>
      <c r="CV29" s="163">
        <f t="shared" si="47"/>
        <v>53710.0434</v>
      </c>
      <c r="CW29" s="402">
        <f t="shared" si="48"/>
        <v>0.256565796045484</v>
      </c>
      <c r="CX29" s="408">
        <f t="shared" si="49"/>
        <v>-0.171934599544178</v>
      </c>
      <c r="CY29" s="408"/>
      <c r="CZ29" s="490">
        <v>3929.37914</v>
      </c>
      <c r="DA29" s="93">
        <v>4133.00484</v>
      </c>
      <c r="DB29" s="93">
        <v>3442.8465</v>
      </c>
      <c r="DC29" s="107">
        <v>3173.55818</v>
      </c>
      <c r="DD29" s="163">
        <v>3493.01288</v>
      </c>
      <c r="DE29" s="163">
        <v>4146.81844</v>
      </c>
      <c r="DF29" s="109">
        <v>4555.54104</v>
      </c>
      <c r="DG29" s="109">
        <v>4421.42672</v>
      </c>
      <c r="DH29" s="109">
        <v>4133.4653</v>
      </c>
      <c r="DI29" s="109">
        <v>2620.6346</v>
      </c>
      <c r="DJ29" s="109">
        <v>2475.2896</v>
      </c>
      <c r="DK29" s="109">
        <v>2218.5413</v>
      </c>
      <c r="DL29" s="109">
        <v>42743.51854</v>
      </c>
      <c r="DM29" s="410">
        <v>0.0157908283273866</v>
      </c>
      <c r="DN29" s="411"/>
      <c r="DO29" s="412">
        <v>2758.5838</v>
      </c>
      <c r="DP29" s="87">
        <f>(DO29-DX29)/DX29</f>
        <v>-0.259032511462353</v>
      </c>
      <c r="DQ29" s="424">
        <v>2938.5911</v>
      </c>
      <c r="DR29" s="304"/>
      <c r="DS29" s="424">
        <v>3740.5654</v>
      </c>
      <c r="DT29" s="104">
        <f t="shared" si="50"/>
        <v>1.1556706430281</v>
      </c>
      <c r="DU29" s="103"/>
      <c r="DV29" s="424">
        <v>3528.9356</v>
      </c>
      <c r="DW29" s="104">
        <f t="shared" si="51"/>
        <v>-0.158499058271963</v>
      </c>
      <c r="DX29" s="424">
        <v>3722.9485</v>
      </c>
      <c r="DY29" s="104">
        <f t="shared" si="52"/>
        <v>-0.20565207595983</v>
      </c>
      <c r="DZ29" s="424">
        <v>3134.1738</v>
      </c>
      <c r="EA29" s="104">
        <f t="shared" si="53"/>
        <v>-0.502790824388176</v>
      </c>
      <c r="EB29" s="424">
        <v>3439.86</v>
      </c>
      <c r="EC29" s="104">
        <f t="shared" si="54"/>
        <v>-0.46596373041317</v>
      </c>
      <c r="ED29" s="424">
        <v>954.0851</v>
      </c>
      <c r="EE29" s="104">
        <f t="shared" si="55"/>
        <v>-0.681940315056356</v>
      </c>
      <c r="EF29" s="424">
        <v>4061.8927</v>
      </c>
      <c r="EG29" s="104">
        <f t="shared" si="56"/>
        <v>0.375912514583466</v>
      </c>
      <c r="EH29" s="424">
        <v>4970.1535</v>
      </c>
      <c r="EI29" s="104">
        <f t="shared" si="57"/>
        <v>0.490346168535794</v>
      </c>
      <c r="EJ29" s="424">
        <v>4496.2061</v>
      </c>
      <c r="EK29" s="104">
        <f t="shared" si="58"/>
        <v>0.389837133453828</v>
      </c>
      <c r="EL29" s="424">
        <v>4333.0598</v>
      </c>
      <c r="EM29" s="104">
        <f t="shared" si="59"/>
        <v>0.436545641107249</v>
      </c>
      <c r="EN29" s="93">
        <f t="shared" si="64"/>
        <v>42079.0554</v>
      </c>
      <c r="EO29" s="104">
        <f t="shared" si="60"/>
        <v>-0.14568978946648</v>
      </c>
      <c r="EP29" s="515">
        <v>10356.4748</v>
      </c>
      <c r="EQ29" s="104">
        <f>(EP29-FP29)/FP29</f>
        <v>-0.020943743705638</v>
      </c>
      <c r="ER29" s="424">
        <v>0</v>
      </c>
      <c r="ES29" s="104">
        <f>(ER29-FQ29)/FQ29</f>
        <v>-1</v>
      </c>
      <c r="ET29" s="424">
        <v>1735.2212</v>
      </c>
      <c r="EU29" s="104">
        <f>(ET29-FR29)/FR29</f>
        <v>-0.831582712405701</v>
      </c>
      <c r="EV29" s="424">
        <v>4193.6205</v>
      </c>
      <c r="EW29" s="104">
        <f>(EV29-FS29)/FS29</f>
        <v>-0.582040242602447</v>
      </c>
      <c r="EX29" s="424">
        <v>4686.7983</v>
      </c>
      <c r="EY29" s="104">
        <f>(EX29-FT29)/FT29</f>
        <v>-0.520217960837762</v>
      </c>
      <c r="EZ29" s="424">
        <v>6303.5317</v>
      </c>
      <c r="FA29" s="104">
        <f>(EZ29-FU29)/FU29</f>
        <v>-0.377659427530115</v>
      </c>
      <c r="FB29" s="424">
        <v>6441.2479</v>
      </c>
      <c r="FC29" s="104">
        <f>(FB29-FV29)/FV29</f>
        <v>-0.332416388655723</v>
      </c>
      <c r="FD29" s="424">
        <v>2999.7046</v>
      </c>
      <c r="FE29" s="104">
        <f>(FD29-FW29)/FW29</f>
        <v>-0.69882849514407</v>
      </c>
      <c r="FF29" s="424">
        <v>2952.1446</v>
      </c>
      <c r="FG29" s="104">
        <f>(FF29-FX29)/FX29</f>
        <v>-0.700408666403651</v>
      </c>
      <c r="FH29" s="424">
        <v>3334.8987</v>
      </c>
      <c r="FI29" s="104">
        <f>(FH29-FY29)/FY29</f>
        <v>-0.715757366322595</v>
      </c>
      <c r="FJ29" s="424">
        <v>3235.0597</v>
      </c>
      <c r="FK29" s="104">
        <f>(FJ29-GA29)/GA29</f>
        <v>-0.717525309265222</v>
      </c>
      <c r="FL29" s="424">
        <v>3016.305</v>
      </c>
      <c r="FM29" s="431">
        <f>(FL29-GC29)/GC29</f>
        <v>-0.698420077968724</v>
      </c>
      <c r="FN29" s="95">
        <v>49255.007</v>
      </c>
      <c r="FO29" s="96">
        <f>(FN29-(FP29+FQ29+FR29+FS29+FT29+FU29+FV29+FW29+FX29+FY29+GA29+GC29))/(FP29+FQ29+FR29+FS29+FT29+FU29+FV29+FW29+FX29+FY29+GA29+GC29)</f>
        <v>-0.603248243184397</v>
      </c>
      <c r="FP29" s="490">
        <v>10578.0181</v>
      </c>
      <c r="FQ29" s="490">
        <v>10684.1858</v>
      </c>
      <c r="FR29" s="490">
        <v>10303.1062</v>
      </c>
      <c r="FS29" s="490">
        <v>10033.5509</v>
      </c>
      <c r="FT29" s="490">
        <v>9768.5989</v>
      </c>
      <c r="FU29" s="490">
        <v>10128.7494</v>
      </c>
      <c r="FV29" s="562">
        <v>9648.601</v>
      </c>
      <c r="FW29" s="530">
        <v>9960.1209</v>
      </c>
      <c r="FX29" s="563">
        <v>9853.9052</v>
      </c>
      <c r="FY29" s="563">
        <v>11732.5774</v>
      </c>
      <c r="FZ29" s="104">
        <f>(FY29-HA29)/HA29</f>
        <v>-0.0935284492780381</v>
      </c>
      <c r="GA29" s="563">
        <v>11452.5648</v>
      </c>
      <c r="GB29" s="104">
        <f>(GA29-HC29)/HC29</f>
        <v>-0.104683642487977</v>
      </c>
      <c r="GC29" s="563">
        <v>10001.6771</v>
      </c>
      <c r="GD29" s="104">
        <f>(GC29-HE29)/HE29</f>
        <v>-0.0421035697801711</v>
      </c>
      <c r="GE29" s="103">
        <f>FP29+FQ29+FR29+FS29+FT29+FU29+FV29+FW29+FX29+FY29+GA29+GC29</f>
        <v>124145.6557</v>
      </c>
      <c r="GF29" s="104">
        <f>(GE29-HG29)/HG29</f>
        <v>-0.227616073995524</v>
      </c>
      <c r="GG29" s="415"/>
      <c r="GH29" s="318"/>
      <c r="GI29" s="417">
        <v>13134.6475</v>
      </c>
      <c r="GJ29" s="104">
        <f>(GI29-HL29)/HL29</f>
        <v>0</v>
      </c>
      <c r="GK29" s="103">
        <v>15709.4386</v>
      </c>
      <c r="GL29" s="104">
        <f>(GK29-HN29)/HN29</f>
        <v>-0.113747949044407</v>
      </c>
      <c r="GM29" s="103">
        <v>15668.8191</v>
      </c>
      <c r="GN29" s="104">
        <f>(GM29-HP29)/HP29</f>
        <v>0.00329003403964386</v>
      </c>
      <c r="GO29" s="103">
        <v>13630.4838</v>
      </c>
      <c r="GP29" s="104">
        <f>(GO29-HR29)/HR29</f>
        <v>0.0617102680719379</v>
      </c>
      <c r="GQ29" s="103">
        <v>13845.4423</v>
      </c>
      <c r="GR29" s="104">
        <f>(GQ29-HT29)/HT29</f>
        <v>-0.0878824732640673</v>
      </c>
      <c r="GS29" s="103">
        <v>13686.7384</v>
      </c>
      <c r="GT29" s="104">
        <f>(GS29-HW29)/HW29</f>
        <v>-0.0021333916593759</v>
      </c>
      <c r="GU29" s="103">
        <v>12921.94</v>
      </c>
      <c r="GV29" s="104">
        <f>(GU29-HY29)/HY29</f>
        <v>-0.105748096885813</v>
      </c>
      <c r="GW29" s="103">
        <v>13019.3806</v>
      </c>
      <c r="GX29" s="104">
        <f>(GW29-IA29)/IA29</f>
        <v>-0.0633539136690647</v>
      </c>
      <c r="GY29" s="103">
        <v>12937.5499</v>
      </c>
      <c r="GZ29" s="104">
        <f>(GY29-IC29)/IC29</f>
        <v>-0.188085608450409</v>
      </c>
      <c r="HA29" s="103">
        <v>12943.1281</v>
      </c>
      <c r="HB29" s="104">
        <f>(HA29-IE29)/IE29</f>
        <v>-0.0791287518657544</v>
      </c>
      <c r="HC29" s="103">
        <v>12791.6403</v>
      </c>
      <c r="HD29" s="104">
        <f>(HC29-IG29)/IG29</f>
        <v>0.113339329102281</v>
      </c>
      <c r="HE29" s="103">
        <v>10441.2928</v>
      </c>
      <c r="HF29" s="104">
        <f>(HE29-II29)/II29</f>
        <v>-0.474605840010225</v>
      </c>
      <c r="HG29" s="414">
        <f>GI29+GK29+GM29+GO29+GQ29+GS29+GU29+GW29+GY29+HA29+HC29+HE29</f>
        <v>160730.5014</v>
      </c>
      <c r="HH29" s="103">
        <f>HE29+HC29+HA29+GY29+GW29+GU29+GS29+GQ29+GO29+GM29+GK29+GI29</f>
        <v>160730.5014</v>
      </c>
      <c r="HI29" s="394"/>
      <c r="HJ29" s="411"/>
      <c r="HK29" s="493"/>
      <c r="HL29" s="417">
        <v>13134.6475</v>
      </c>
      <c r="HM29" s="418">
        <f>(HL29-IN29)/IN29</f>
        <v>0.00799999736002044</v>
      </c>
      <c r="HN29" s="421">
        <v>17725.7007</v>
      </c>
      <c r="HO29" s="418">
        <f>(HN29-IP29)/IP29</f>
        <v>-0.00600000104302775</v>
      </c>
      <c r="HP29" s="421">
        <v>15617.4372</v>
      </c>
      <c r="HQ29" s="423">
        <f>(HP29-IR29)/IR29</f>
        <v>-0.00899999775370311</v>
      </c>
      <c r="HR29" s="439">
        <v>12838.233</v>
      </c>
      <c r="HS29" s="304">
        <f>(HR29-IT29)/IT29</f>
        <v>-0.00499999740365356</v>
      </c>
      <c r="HT29" s="439">
        <v>15179.4499</v>
      </c>
      <c r="HU29" s="304">
        <f>(HT29-IV29)/IV29</f>
        <v>-0.0030000015829098</v>
      </c>
      <c r="HV29" s="423"/>
      <c r="HW29" s="439">
        <v>13716</v>
      </c>
      <c r="HX29" s="304">
        <f>(HW29-IX29)/IX29</f>
        <v>-0.00300798509483851</v>
      </c>
      <c r="HY29" s="564">
        <v>14450</v>
      </c>
      <c r="HZ29" s="304">
        <f>(HY29-IZ29)/IZ29</f>
        <v>-0.00296116394355121</v>
      </c>
      <c r="IA29" s="564">
        <v>13900</v>
      </c>
      <c r="IB29" s="422">
        <f>(IA29-JB29)/JB29</f>
        <v>-0.000906558700556385</v>
      </c>
      <c r="IC29" s="564">
        <v>15934.6232</v>
      </c>
      <c r="ID29" s="425">
        <f>(IC29-JD29)/JD29</f>
        <v>0.0315602627608932</v>
      </c>
      <c r="IE29" s="564">
        <v>14055.307</v>
      </c>
      <c r="IF29" s="425">
        <f>(IE29-JF29)/JF29</f>
        <v>0.0521670643657664</v>
      </c>
      <c r="IG29" s="564">
        <v>11489.4354</v>
      </c>
      <c r="IH29" s="309" t="e">
        <f>(IG29-JH29)/JH29</f>
        <v>#REF!</v>
      </c>
      <c r="II29" s="565">
        <v>19873.2563</v>
      </c>
      <c r="IJ29" s="309">
        <f>(II29-JJ29)/JJ29</f>
        <v>-0.0318132900588247</v>
      </c>
      <c r="IK29" s="391">
        <f>HL29+HN29+HP29+HR29+HT29+HW29+HY29+IA29+IC29+IE29+IG29+II29</f>
        <v>177914.0902</v>
      </c>
      <c r="IL29" s="104"/>
      <c r="IM29" s="318"/>
      <c r="IN29" s="518">
        <v>13030.4043</v>
      </c>
      <c r="IO29" s="304">
        <f>IN29/JP29-1</f>
        <v>0.0499999994195137</v>
      </c>
      <c r="IP29" s="103">
        <v>17832.6969</v>
      </c>
      <c r="IQ29" s="304">
        <f>IP29/JQ29-1</f>
        <v>0.0449999890117465</v>
      </c>
      <c r="IR29" s="424">
        <v>15759.2706</v>
      </c>
      <c r="IS29" s="394">
        <f>(IR29-JR29)/JR29</f>
        <v>0.0466774455275081</v>
      </c>
      <c r="IT29" s="564">
        <v>12902.7467</v>
      </c>
      <c r="IU29" s="304">
        <f>(IT29-JS29)/JS29</f>
        <v>0.0400000001012515</v>
      </c>
      <c r="IV29" s="564">
        <v>15225.1253</v>
      </c>
      <c r="IW29" s="304">
        <f>(IV29-JT29)/JT29</f>
        <v>0.0313548095046155</v>
      </c>
      <c r="IX29" s="564">
        <v>13757.382</v>
      </c>
      <c r="IY29" s="104">
        <f>(IX29-JU29)/JU29</f>
        <v>0.0280000337905088</v>
      </c>
      <c r="IZ29" s="564">
        <v>14492.9159</v>
      </c>
      <c r="JA29" s="104">
        <f>(IZ29-JV29)/JV29</f>
        <v>0.0230011017185439</v>
      </c>
      <c r="JB29" s="103">
        <v>13912.6126</v>
      </c>
      <c r="JC29" s="104">
        <f>(JB29-JW29)/JW29</f>
        <v>0.00870003222592733</v>
      </c>
      <c r="JD29" s="103">
        <v>15447.1084</v>
      </c>
      <c r="JE29" s="394">
        <f>(JD29-JX29)/JX29</f>
        <v>0.0170000005564652</v>
      </c>
      <c r="JF29" s="424">
        <v>13358.4365791495</v>
      </c>
      <c r="JG29" s="418">
        <f>(JF29-JY29)/JY29</f>
        <v>0</v>
      </c>
      <c r="JH29" s="496" t="e">
        <f>JZ29*#REF!</f>
        <v>#REF!</v>
      </c>
      <c r="JI29" s="418" t="e">
        <f>(JH29-JZ29)/JZ29</f>
        <v>#REF!</v>
      </c>
      <c r="JJ29" s="103">
        <v>20526.2643</v>
      </c>
      <c r="JK29" s="418">
        <f>(JJ29-KA29)/KA29</f>
        <v>0.0150000020330966</v>
      </c>
      <c r="JL29" s="399" t="e">
        <f t="shared" si="62"/>
        <v>#REF!</v>
      </c>
      <c r="JM29" s="398"/>
      <c r="JN29" s="400"/>
      <c r="JO29" s="518">
        <v>173541.333920607</v>
      </c>
      <c r="JP29" s="424">
        <v>12409.9088640036</v>
      </c>
      <c r="JQ29" s="424">
        <v>17064.7819019255</v>
      </c>
      <c r="JR29" s="424">
        <v>15056.4729060896</v>
      </c>
      <c r="JS29" s="424">
        <v>12406.4872103306</v>
      </c>
      <c r="JT29" s="424">
        <v>14762.2575273712</v>
      </c>
      <c r="JU29" s="424">
        <v>13382.6668752849</v>
      </c>
      <c r="JV29" s="424">
        <v>14167.0579588363</v>
      </c>
      <c r="JW29" s="424">
        <v>13792.6163929019</v>
      </c>
      <c r="JX29" s="424">
        <v>15188.8971401651</v>
      </c>
      <c r="JY29" s="424">
        <v>13358.4365791495</v>
      </c>
      <c r="JZ29" s="424">
        <v>11728.8301124455</v>
      </c>
      <c r="KA29" s="424">
        <v>20222.9204521033</v>
      </c>
    </row>
    <row r="30" ht="28.8" customHeight="1" spans="1:287">
      <c r="A30" s="401"/>
      <c r="B30" s="141" t="s">
        <v>211</v>
      </c>
      <c r="C30" s="163">
        <v>0.0976</v>
      </c>
      <c r="D30" s="402">
        <f t="shared" si="76"/>
        <v>-0.882987651360748</v>
      </c>
      <c r="E30" s="163">
        <v>0.0712</v>
      </c>
      <c r="F30" s="359">
        <f t="shared" si="77"/>
        <v>-0.914638532550054</v>
      </c>
      <c r="G30" s="163">
        <v>0.0872</v>
      </c>
      <c r="H30" s="359">
        <f t="shared" si="78"/>
        <v>-0.650780937124549</v>
      </c>
      <c r="I30" s="163">
        <v>0.0945</v>
      </c>
      <c r="J30" s="359">
        <f t="shared" si="79"/>
        <v>-0.661532951289398</v>
      </c>
      <c r="K30" s="163">
        <v>0.1012</v>
      </c>
      <c r="L30" s="359">
        <f t="shared" si="80"/>
        <v>-0.661198526950117</v>
      </c>
      <c r="M30" s="163">
        <v>0.0937</v>
      </c>
      <c r="N30" s="402">
        <f t="shared" si="81"/>
        <v>-0.71441633648278</v>
      </c>
      <c r="O30" s="163">
        <v>0.0765</v>
      </c>
      <c r="P30" s="402">
        <f t="shared" si="82"/>
        <v>-0.726492670718627</v>
      </c>
      <c r="Q30" s="127"/>
      <c r="R30" s="127"/>
      <c r="S30" s="109">
        <f t="shared" si="7"/>
        <v>0.6219</v>
      </c>
      <c r="T30" s="359">
        <f t="shared" si="8"/>
        <v>-0.815037325640187</v>
      </c>
      <c r="U30" s="359"/>
      <c r="V30" s="163">
        <v>0.8341</v>
      </c>
      <c r="W30" s="402">
        <f t="shared" si="83"/>
        <v>-0.851960314502245</v>
      </c>
      <c r="X30" s="163">
        <v>0.8341</v>
      </c>
      <c r="Y30" s="402">
        <f t="shared" si="84"/>
        <v>-0.725335879873551</v>
      </c>
      <c r="Z30" s="163">
        <v>0.2497</v>
      </c>
      <c r="AA30" s="402">
        <f t="shared" si="85"/>
        <v>-0.800319872051179</v>
      </c>
      <c r="AB30" s="163">
        <v>0.2792</v>
      </c>
      <c r="AC30" s="402">
        <f t="shared" si="86"/>
        <v>-0.78729239676977</v>
      </c>
      <c r="AD30" s="163">
        <v>0.2987</v>
      </c>
      <c r="AE30" s="402">
        <f t="shared" si="87"/>
        <v>-0.7866885667357</v>
      </c>
      <c r="AF30" s="163">
        <v>0.3281</v>
      </c>
      <c r="AG30" s="402">
        <f t="shared" si="88"/>
        <v>-0.760388519681589</v>
      </c>
      <c r="AH30" s="163">
        <v>0.2797</v>
      </c>
      <c r="AI30" s="402">
        <f t="shared" si="89"/>
        <v>-0.797612156295224</v>
      </c>
      <c r="AJ30" s="163">
        <v>0.2587</v>
      </c>
      <c r="AK30" s="402">
        <f t="shared" si="90"/>
        <v>-0.813132042762208</v>
      </c>
      <c r="AL30" s="163">
        <v>0.2766</v>
      </c>
      <c r="AM30" s="402">
        <f t="shared" si="91"/>
        <v>-0.808222977189212</v>
      </c>
      <c r="AN30" s="163">
        <v>0.0923</v>
      </c>
      <c r="AO30" s="402">
        <f t="shared" si="92"/>
        <v>-0.937466124661247</v>
      </c>
      <c r="AP30" s="163">
        <v>0.0857</v>
      </c>
      <c r="AQ30" s="402">
        <f t="shared" si="93"/>
        <v>-0.942347796838211</v>
      </c>
      <c r="AR30" s="163">
        <v>0.0862</v>
      </c>
      <c r="AS30" s="402">
        <f t="shared" si="94"/>
        <v>-0.913139862958484</v>
      </c>
      <c r="AT30" s="93">
        <f t="shared" si="21"/>
        <v>3.9031</v>
      </c>
      <c r="AU30" s="402">
        <f t="shared" si="22"/>
        <v>-0.823926125752231</v>
      </c>
      <c r="AV30" s="360"/>
      <c r="AW30" s="93">
        <v>5.6343</v>
      </c>
      <c r="AX30" s="402">
        <v>-0.00118773267151218</v>
      </c>
      <c r="AY30" s="163">
        <v>3.0368</v>
      </c>
      <c r="AZ30" s="402">
        <f t="shared" si="65"/>
        <v>-0.467181331695763</v>
      </c>
      <c r="BA30" s="93">
        <v>1.2505</v>
      </c>
      <c r="BB30" s="402">
        <f t="shared" si="66"/>
        <v>-0.787011173184358</v>
      </c>
      <c r="BC30" s="93">
        <v>1.3126</v>
      </c>
      <c r="BD30" s="402">
        <f t="shared" si="67"/>
        <v>-0.77822083298133</v>
      </c>
      <c r="BE30" s="93">
        <v>1.4003</v>
      </c>
      <c r="BF30" s="402">
        <f t="shared" si="68"/>
        <v>-0.773381236749688</v>
      </c>
      <c r="BG30" s="93">
        <v>1.3693</v>
      </c>
      <c r="BH30" s="402">
        <f t="shared" si="69"/>
        <v>-0.773065513183845</v>
      </c>
      <c r="BI30" s="93">
        <v>1.382</v>
      </c>
      <c r="BJ30" s="402">
        <f t="shared" si="70"/>
        <v>-0.764224174699309</v>
      </c>
      <c r="BK30" s="93">
        <v>1.3844</v>
      </c>
      <c r="BL30" s="402">
        <f t="shared" si="71"/>
        <v>-0.768711574445335</v>
      </c>
      <c r="BM30" s="93">
        <v>1.4423</v>
      </c>
      <c r="BN30" s="402">
        <f t="shared" si="72"/>
        <v>-0.767040315286213</v>
      </c>
      <c r="BO30" s="93">
        <v>1.476</v>
      </c>
      <c r="BP30" s="402">
        <f t="shared" si="73"/>
        <v>-0.783545974483062</v>
      </c>
      <c r="BQ30" s="93">
        <v>1.4865</v>
      </c>
      <c r="BR30" s="402">
        <f t="shared" si="74"/>
        <v>-0.763717573753815</v>
      </c>
      <c r="BS30" s="93">
        <v>0.9924</v>
      </c>
      <c r="BT30" s="402">
        <f t="shared" si="75"/>
        <v>-0.837596347390643</v>
      </c>
      <c r="BU30" s="163">
        <f t="shared" si="34"/>
        <v>22.1674</v>
      </c>
      <c r="BV30" s="402">
        <f t="shared" si="35"/>
        <v>-0.694674005267044</v>
      </c>
      <c r="BW30" s="429"/>
      <c r="BX30" s="93">
        <v>5.641</v>
      </c>
      <c r="BY30" s="402">
        <f t="shared" si="36"/>
        <v>7.60958485958486</v>
      </c>
      <c r="BZ30" s="93">
        <v>5.6995</v>
      </c>
      <c r="CA30" s="402">
        <f t="shared" si="37"/>
        <v>8.05832803560076</v>
      </c>
      <c r="CB30" s="163">
        <v>5.8712</v>
      </c>
      <c r="CC30" s="402">
        <f t="shared" si="38"/>
        <v>8.39843124699856</v>
      </c>
      <c r="CD30" s="163">
        <v>5.9185</v>
      </c>
      <c r="CE30" s="402">
        <v>1.29987565088987</v>
      </c>
      <c r="CF30" s="163">
        <v>6.1791</v>
      </c>
      <c r="CG30" s="402">
        <f t="shared" si="39"/>
        <v>1.54713714497712</v>
      </c>
      <c r="CH30" s="163">
        <v>6.0339</v>
      </c>
      <c r="CI30" s="402">
        <f t="shared" si="40"/>
        <v>1.449021836188</v>
      </c>
      <c r="CJ30" s="163">
        <v>5.8615</v>
      </c>
      <c r="CK30" s="402">
        <f t="shared" si="41"/>
        <v>0.892393620455866</v>
      </c>
      <c r="CL30" s="163">
        <v>5.9856</v>
      </c>
      <c r="CM30" s="402">
        <f t="shared" si="42"/>
        <v>0.0641823418554208</v>
      </c>
      <c r="CN30" s="163">
        <v>6.1912</v>
      </c>
      <c r="CO30" s="402">
        <f t="shared" si="43"/>
        <v>0.106757239899893</v>
      </c>
      <c r="CP30" s="163">
        <v>6.819</v>
      </c>
      <c r="CQ30" s="402">
        <f t="shared" si="44"/>
        <v>0.219551454018672</v>
      </c>
      <c r="CR30" s="163">
        <v>6.2912</v>
      </c>
      <c r="CS30" s="402">
        <f t="shared" si="45"/>
        <v>0.132814750792279</v>
      </c>
      <c r="CT30" s="163">
        <v>6.1107</v>
      </c>
      <c r="CU30" s="402">
        <f t="shared" si="46"/>
        <v>0.119380838981499</v>
      </c>
      <c r="CV30" s="163">
        <f t="shared" si="47"/>
        <v>72.6024</v>
      </c>
      <c r="CW30" s="402">
        <f t="shared" si="48"/>
        <v>0.801897141382203</v>
      </c>
      <c r="CX30" s="408">
        <f t="shared" si="49"/>
        <v>-0.0286908697863684</v>
      </c>
      <c r="CY30" s="408"/>
      <c r="CZ30" s="490">
        <v>0.6552</v>
      </c>
      <c r="DA30" s="93">
        <v>0.6292</v>
      </c>
      <c r="DB30" s="93">
        <v>0.6247</v>
      </c>
      <c r="DC30" s="107">
        <v>2.5734</v>
      </c>
      <c r="DD30" s="163">
        <v>2.4259</v>
      </c>
      <c r="DE30" s="163">
        <v>2.4638</v>
      </c>
      <c r="DF30" s="109">
        <v>3.0974</v>
      </c>
      <c r="DG30" s="109">
        <v>5.6246</v>
      </c>
      <c r="DH30" s="109">
        <v>5.594</v>
      </c>
      <c r="DI30" s="109">
        <v>5.5914</v>
      </c>
      <c r="DJ30" s="109">
        <v>5.5536</v>
      </c>
      <c r="DK30" s="109">
        <v>5.459</v>
      </c>
      <c r="DL30" s="109">
        <v>40.2922</v>
      </c>
      <c r="DM30" s="410">
        <v>3.46653881541753</v>
      </c>
      <c r="DN30" s="411"/>
      <c r="DO30" s="412">
        <v>0.8761</v>
      </c>
      <c r="DP30" s="87"/>
      <c r="DQ30" s="424">
        <v>0.98</v>
      </c>
      <c r="DR30" s="304"/>
      <c r="DS30" s="424">
        <v>0.7928</v>
      </c>
      <c r="DT30" s="104" t="e">
        <f t="shared" si="50"/>
        <v>#DIV/0!</v>
      </c>
      <c r="DU30" s="103"/>
      <c r="DV30" s="424">
        <v>0.9352</v>
      </c>
      <c r="DW30" s="104" t="e">
        <f t="shared" si="51"/>
        <v>#DIV/0!</v>
      </c>
      <c r="DX30" s="424">
        <v>0.9784</v>
      </c>
      <c r="DY30" s="104" t="e">
        <f t="shared" si="52"/>
        <v>#DIV/0!</v>
      </c>
      <c r="DZ30" s="424">
        <v>0.8724</v>
      </c>
      <c r="EA30" s="104" t="e">
        <f t="shared" si="53"/>
        <v>#DIV/0!</v>
      </c>
      <c r="EB30" s="424">
        <v>0.8964</v>
      </c>
      <c r="EC30" s="104" t="e">
        <f t="shared" si="54"/>
        <v>#DIV/0!</v>
      </c>
      <c r="ED30" s="424">
        <v>0</v>
      </c>
      <c r="EE30" s="104" t="e">
        <f t="shared" si="55"/>
        <v>#DIV/0!</v>
      </c>
      <c r="EF30" s="424">
        <v>0.6084</v>
      </c>
      <c r="EG30" s="104" t="e">
        <f t="shared" si="56"/>
        <v>#DIV/0!</v>
      </c>
      <c r="EH30" s="424">
        <v>0.6736</v>
      </c>
      <c r="EI30" s="104" t="e">
        <f t="shared" si="57"/>
        <v>#DIV/0!</v>
      </c>
      <c r="EJ30" s="424">
        <v>0.7028</v>
      </c>
      <c r="EK30" s="104" t="e">
        <f t="shared" si="58"/>
        <v>#DIV/0!</v>
      </c>
      <c r="EL30" s="424">
        <v>0.7048</v>
      </c>
      <c r="EM30" s="104" t="e">
        <f t="shared" si="59"/>
        <v>#DIV/0!</v>
      </c>
      <c r="EN30" s="93">
        <f t="shared" si="64"/>
        <v>9.0209</v>
      </c>
      <c r="EO30" s="104" t="e">
        <f t="shared" si="60"/>
        <v>#DIV/0!</v>
      </c>
      <c r="EP30" s="104"/>
      <c r="FN30" s="95">
        <v>0</v>
      </c>
      <c r="FO30" s="96"/>
      <c r="FP30" s="431"/>
      <c r="JL30" s="399">
        <v>0</v>
      </c>
      <c r="JM30" s="398"/>
      <c r="JN30" s="400"/>
      <c r="JO30" s="311"/>
      <c r="JP30" s="144"/>
      <c r="JQ30" s="144"/>
      <c r="JR30" s="144"/>
      <c r="JS30" s="144"/>
      <c r="JT30" s="144"/>
      <c r="JU30" s="144"/>
      <c r="JV30" s="144"/>
      <c r="JW30" s="144"/>
      <c r="JX30" s="144"/>
      <c r="JY30" s="144"/>
      <c r="JZ30" s="144"/>
      <c r="KA30" s="144"/>
    </row>
    <row r="31" ht="28.8" customHeight="1" spans="1:287">
      <c r="A31" s="28"/>
      <c r="B31" s="446" t="s">
        <v>212</v>
      </c>
      <c r="C31" s="163">
        <v>2.5782</v>
      </c>
      <c r="D31" s="402">
        <f t="shared" si="76"/>
        <v>-0.827311819314391</v>
      </c>
      <c r="E31" s="163">
        <v>1.880818</v>
      </c>
      <c r="F31" s="359">
        <f t="shared" si="77"/>
        <v>-0.874022558909028</v>
      </c>
      <c r="G31" s="163">
        <v>2.303473</v>
      </c>
      <c r="H31" s="359">
        <f t="shared" si="78"/>
        <v>-0.651263701326228</v>
      </c>
      <c r="I31" s="163">
        <v>2.496309</v>
      </c>
      <c r="J31" s="359">
        <f t="shared" si="79"/>
        <v>-0.662007798854543</v>
      </c>
      <c r="K31" s="163">
        <v>2.673295</v>
      </c>
      <c r="L31" s="359">
        <f t="shared" si="80"/>
        <v>-0.661629643693437</v>
      </c>
      <c r="M31" s="163">
        <v>2.475175</v>
      </c>
      <c r="N31" s="402">
        <f t="shared" si="81"/>
        <v>-0.714506101640176</v>
      </c>
      <c r="O31" s="163">
        <v>2.02082</v>
      </c>
      <c r="P31" s="402">
        <f t="shared" si="82"/>
        <v>-0.726550384974493</v>
      </c>
      <c r="Q31" s="127"/>
      <c r="R31" s="127"/>
      <c r="S31" s="109">
        <f t="shared" si="7"/>
        <v>16.42809</v>
      </c>
      <c r="T31" s="359">
        <f t="shared" si="8"/>
        <v>-0.779923855249955</v>
      </c>
      <c r="U31" s="359"/>
      <c r="V31" s="163">
        <v>14.9298</v>
      </c>
      <c r="W31" s="402">
        <f t="shared" si="83"/>
        <v>-0.901098398806011</v>
      </c>
      <c r="X31" s="163">
        <v>14.9298</v>
      </c>
      <c r="Y31" s="402">
        <f t="shared" si="84"/>
        <v>-0.834202679667068</v>
      </c>
      <c r="Z31" s="163">
        <v>6.6052</v>
      </c>
      <c r="AA31" s="402">
        <f t="shared" si="85"/>
        <v>-0.850045745446455</v>
      </c>
      <c r="AB31" s="163">
        <v>7.3857</v>
      </c>
      <c r="AC31" s="402">
        <f t="shared" si="86"/>
        <v>-0.837740400458722</v>
      </c>
      <c r="AD31" s="163">
        <v>7.9005</v>
      </c>
      <c r="AE31" s="402">
        <f t="shared" si="87"/>
        <v>-0.836256691806928</v>
      </c>
      <c r="AF31" s="163">
        <v>8.6698</v>
      </c>
      <c r="AG31" s="402">
        <f t="shared" si="88"/>
        <v>-0.816761141475498</v>
      </c>
      <c r="AH31" s="163">
        <v>7.3901</v>
      </c>
      <c r="AI31" s="402">
        <f t="shared" si="89"/>
        <v>-0.844920100307428</v>
      </c>
      <c r="AJ31" s="163">
        <v>6.8364</v>
      </c>
      <c r="AK31" s="402">
        <f t="shared" si="90"/>
        <v>-0.857465426546658</v>
      </c>
      <c r="AL31" s="163">
        <v>7.3068</v>
      </c>
      <c r="AM31" s="402">
        <f t="shared" si="91"/>
        <v>-0.853675534087905</v>
      </c>
      <c r="AN31" s="163">
        <v>2.438241</v>
      </c>
      <c r="AO31" s="402">
        <f t="shared" si="92"/>
        <v>-0.952552973708228</v>
      </c>
      <c r="AP31" s="163">
        <v>2.438241</v>
      </c>
      <c r="AQ31" s="402">
        <f t="shared" si="93"/>
        <v>-0.95314958178894</v>
      </c>
      <c r="AR31" s="163">
        <v>2.2771</v>
      </c>
      <c r="AS31" s="402">
        <f t="shared" si="94"/>
        <v>-0.910227398167568</v>
      </c>
      <c r="AT31" s="93">
        <f t="shared" si="21"/>
        <v>89.107682</v>
      </c>
      <c r="AU31" s="402">
        <f t="shared" si="22"/>
        <v>-0.872791121899854</v>
      </c>
      <c r="AV31" s="360"/>
      <c r="AW31" s="93">
        <v>150.9561</v>
      </c>
      <c r="AX31" s="402">
        <v>-0.026273115000271</v>
      </c>
      <c r="AY31" s="163">
        <v>90.0485</v>
      </c>
      <c r="AZ31" s="402">
        <f t="shared" si="65"/>
        <v>-0.426115158714782</v>
      </c>
      <c r="BA31" s="93">
        <v>44.0481</v>
      </c>
      <c r="BB31" s="402">
        <f t="shared" si="66"/>
        <v>-0.724641549725442</v>
      </c>
      <c r="BC31" s="93">
        <v>45.5178</v>
      </c>
      <c r="BD31" s="402">
        <f t="shared" si="67"/>
        <v>-0.717327447763289</v>
      </c>
      <c r="BE31" s="93">
        <v>48.2493</v>
      </c>
      <c r="BF31" s="402">
        <f t="shared" si="68"/>
        <v>-0.708723217239489</v>
      </c>
      <c r="BG31" s="93">
        <v>47.3142</v>
      </c>
      <c r="BH31" s="402">
        <f t="shared" si="69"/>
        <v>-0.718885910251109</v>
      </c>
      <c r="BI31" s="93">
        <v>47.6535</v>
      </c>
      <c r="BJ31" s="402">
        <f t="shared" si="70"/>
        <v>-0.710950560102097</v>
      </c>
      <c r="BK31" s="93">
        <v>47.9631</v>
      </c>
      <c r="BL31" s="402">
        <f t="shared" si="71"/>
        <v>-0.712166366209219</v>
      </c>
      <c r="BM31" s="93">
        <v>49.9356</v>
      </c>
      <c r="BN31" s="402">
        <f t="shared" si="72"/>
        <v>-0.710281111263249</v>
      </c>
      <c r="BO31" s="93">
        <v>51.3887</v>
      </c>
      <c r="BP31" s="402">
        <f t="shared" si="73"/>
        <v>-0.720189550647572</v>
      </c>
      <c r="BQ31" s="93">
        <v>52.0431</v>
      </c>
      <c r="BR31" s="402">
        <f t="shared" si="74"/>
        <v>-0.70053220842039</v>
      </c>
      <c r="BS31" s="93">
        <v>25.3652</v>
      </c>
      <c r="BT31" s="402">
        <f t="shared" si="75"/>
        <v>-0.842373164685653</v>
      </c>
      <c r="BU31" s="163">
        <f t="shared" si="34"/>
        <v>700.4832</v>
      </c>
      <c r="BV31" s="402">
        <f t="shared" si="35"/>
        <v>-0.647840220899216</v>
      </c>
      <c r="BW31" s="429"/>
      <c r="BX31" s="93">
        <v>155.0292</v>
      </c>
      <c r="BY31" s="402">
        <f t="shared" si="36"/>
        <v>18.680149896413</v>
      </c>
      <c r="BZ31" s="93">
        <v>156.9104</v>
      </c>
      <c r="CA31" s="402">
        <f t="shared" si="37"/>
        <v>19.6857347760974</v>
      </c>
      <c r="CB31" s="163">
        <v>159.9664</v>
      </c>
      <c r="CC31" s="402">
        <f t="shared" si="38"/>
        <v>20.3408041836762</v>
      </c>
      <c r="CD31" s="163">
        <v>161.0266</v>
      </c>
      <c r="CE31" s="402">
        <v>1.0603893774148</v>
      </c>
      <c r="CF31" s="163">
        <v>165.6476</v>
      </c>
      <c r="CG31" s="402">
        <f t="shared" si="39"/>
        <v>1.56626688198936</v>
      </c>
      <c r="CH31" s="163">
        <v>168.3096</v>
      </c>
      <c r="CI31" s="402">
        <f t="shared" si="40"/>
        <v>1.33355803351203</v>
      </c>
      <c r="CJ31" s="163">
        <v>164.8628</v>
      </c>
      <c r="CK31" s="402">
        <f t="shared" si="41"/>
        <v>0.928471599333901</v>
      </c>
      <c r="CL31" s="163">
        <v>166.6348</v>
      </c>
      <c r="CM31" s="402">
        <f t="shared" si="42"/>
        <v>0.110757082163927</v>
      </c>
      <c r="CN31" s="163">
        <v>172.3588</v>
      </c>
      <c r="CO31" s="402">
        <f t="shared" si="43"/>
        <v>0.110707420384033</v>
      </c>
      <c r="CP31" s="163">
        <v>183.6554</v>
      </c>
      <c r="CQ31" s="402">
        <f t="shared" si="44"/>
        <v>0.185137337020175</v>
      </c>
      <c r="CR31" s="163">
        <v>173.7853</v>
      </c>
      <c r="CS31" s="402">
        <f t="shared" si="45"/>
        <v>0.131917296612168</v>
      </c>
      <c r="CT31" s="163">
        <v>160.9193</v>
      </c>
      <c r="CU31" s="402">
        <f t="shared" si="46"/>
        <v>0.0766245279042461</v>
      </c>
      <c r="CV31" s="163">
        <f t="shared" si="47"/>
        <v>1989.1062</v>
      </c>
      <c r="CW31" s="402">
        <f t="shared" si="48"/>
        <v>0.830852710986363</v>
      </c>
      <c r="CX31" s="408">
        <f t="shared" si="49"/>
        <v>-0.0740338797355128</v>
      </c>
      <c r="CY31" s="408"/>
      <c r="CZ31" s="477">
        <v>7.87744</v>
      </c>
      <c r="DA31" s="473">
        <v>7.58544</v>
      </c>
      <c r="DB31" s="473">
        <v>7.4958</v>
      </c>
      <c r="DC31" s="473">
        <v>78.15348</v>
      </c>
      <c r="DD31" s="448">
        <v>64.54808</v>
      </c>
      <c r="DE31" s="448">
        <v>72.12574</v>
      </c>
      <c r="DF31" s="448">
        <v>85.48884</v>
      </c>
      <c r="DG31" s="448">
        <v>150.01912</v>
      </c>
      <c r="DH31" s="448">
        <v>155.1793</v>
      </c>
      <c r="DI31" s="448">
        <v>154.9655</v>
      </c>
      <c r="DJ31" s="448">
        <v>153.5318</v>
      </c>
      <c r="DK31" s="448">
        <v>149.4665</v>
      </c>
      <c r="DL31" s="448">
        <v>1086.43704</v>
      </c>
      <c r="DM31" s="449">
        <v>8.88829663878549</v>
      </c>
      <c r="DN31" s="411"/>
      <c r="DO31" s="412">
        <v>10.5879</v>
      </c>
      <c r="DP31" s="87"/>
      <c r="DQ31" s="424">
        <v>11.885</v>
      </c>
      <c r="DR31" s="304"/>
      <c r="DS31" s="424">
        <v>8.9493</v>
      </c>
      <c r="DT31" s="104" t="e">
        <f t="shared" si="50"/>
        <v>#DIV/0!</v>
      </c>
      <c r="DU31" s="103"/>
      <c r="DV31" s="424">
        <v>11.2088</v>
      </c>
      <c r="DW31" s="104" t="e">
        <f t="shared" si="51"/>
        <v>#DIV/0!</v>
      </c>
      <c r="DX31" s="424">
        <v>12.1689</v>
      </c>
      <c r="DY31" s="104" t="e">
        <f t="shared" si="52"/>
        <v>#DIV/0!</v>
      </c>
      <c r="DZ31" s="424">
        <v>10.785</v>
      </c>
      <c r="EA31" s="104" t="e">
        <f t="shared" si="53"/>
        <v>#DIV/0!</v>
      </c>
      <c r="EB31" s="424">
        <v>11.4597</v>
      </c>
      <c r="EC31" s="104" t="e">
        <f t="shared" si="54"/>
        <v>#DIV/0!</v>
      </c>
      <c r="ED31" s="424">
        <v>0</v>
      </c>
      <c r="EE31" s="104" t="e">
        <f t="shared" si="55"/>
        <v>#DIV/0!</v>
      </c>
      <c r="EF31" s="424">
        <v>7.6579</v>
      </c>
      <c r="EG31" s="104" t="e">
        <f t="shared" si="56"/>
        <v>#DIV/0!</v>
      </c>
      <c r="EH31" s="424">
        <v>8.1785</v>
      </c>
      <c r="EI31" s="104" t="e">
        <f t="shared" si="57"/>
        <v>#DIV/0!</v>
      </c>
      <c r="EJ31" s="424">
        <v>8.483</v>
      </c>
      <c r="EK31" s="104" t="e">
        <f t="shared" si="58"/>
        <v>#DIV/0!</v>
      </c>
      <c r="EL31" s="424">
        <v>8.507</v>
      </c>
      <c r="EM31" s="104" t="e">
        <f t="shared" si="59"/>
        <v>#DIV/0!</v>
      </c>
      <c r="EN31" s="93">
        <f t="shared" si="64"/>
        <v>109.871</v>
      </c>
      <c r="EO31" s="104" t="e">
        <f t="shared" si="60"/>
        <v>#DIV/0!</v>
      </c>
      <c r="EP31" s="104"/>
      <c r="FN31" s="95">
        <v>0</v>
      </c>
      <c r="FO31" s="96"/>
      <c r="FP31" s="431"/>
      <c r="JL31" s="399">
        <v>0</v>
      </c>
      <c r="JM31" s="398"/>
      <c r="JN31" s="400"/>
      <c r="JO31" s="311"/>
      <c r="JP31" s="144"/>
      <c r="JQ31" s="144"/>
      <c r="JR31" s="144"/>
      <c r="JS31" s="144"/>
      <c r="JT31" s="144"/>
      <c r="JU31" s="144"/>
      <c r="JV31" s="144"/>
      <c r="JW31" s="144"/>
      <c r="JX31" s="144"/>
      <c r="JY31" s="144"/>
      <c r="JZ31" s="144"/>
      <c r="KA31" s="144"/>
    </row>
    <row r="32" s="286" customFormat="1" ht="28.8" hidden="1" customHeight="1" spans="1:287">
      <c r="A32" s="298" t="s">
        <v>100</v>
      </c>
      <c r="B32" s="164" t="s">
        <v>206</v>
      </c>
      <c r="C32" s="109">
        <v>59.3255</v>
      </c>
      <c r="D32" s="359">
        <f t="shared" si="76"/>
        <v>-0.194619984659558</v>
      </c>
      <c r="E32" s="109">
        <v>60.7363</v>
      </c>
      <c r="F32" s="359">
        <f t="shared" si="77"/>
        <v>-0.159569713331332</v>
      </c>
      <c r="G32" s="109">
        <v>56.7931</v>
      </c>
      <c r="H32" s="359">
        <f t="shared" si="78"/>
        <v>-0.238385986745233</v>
      </c>
      <c r="I32" s="109">
        <v>61.8497</v>
      </c>
      <c r="J32" s="359">
        <f t="shared" si="79"/>
        <v>-0.212850766726525</v>
      </c>
      <c r="K32" s="109">
        <v>62.0998</v>
      </c>
      <c r="L32" s="359">
        <f t="shared" si="80"/>
        <v>-0.294334888604551</v>
      </c>
      <c r="M32" s="109">
        <v>62.8884</v>
      </c>
      <c r="N32" s="359">
        <f t="shared" si="81"/>
        <v>-0.135023168874896</v>
      </c>
      <c r="O32" s="109">
        <v>56.9534</v>
      </c>
      <c r="P32" s="359">
        <f t="shared" si="82"/>
        <v>-0.137956556815034</v>
      </c>
      <c r="Q32" s="127"/>
      <c r="R32" s="127"/>
      <c r="S32" s="109">
        <f t="shared" si="7"/>
        <v>420.6462</v>
      </c>
      <c r="T32" s="359">
        <f t="shared" si="8"/>
        <v>-0.287510944042554</v>
      </c>
      <c r="U32" s="359"/>
      <c r="V32" s="109">
        <v>73.6615</v>
      </c>
      <c r="W32" s="359">
        <f t="shared" si="83"/>
        <v>-0.176084568733907</v>
      </c>
      <c r="X32" s="109">
        <v>72.2681</v>
      </c>
      <c r="Y32" s="359">
        <f t="shared" si="84"/>
        <v>-0.151141238212921</v>
      </c>
      <c r="Z32" s="109">
        <v>74.5694</v>
      </c>
      <c r="AA32" s="359">
        <f t="shared" si="85"/>
        <v>-0.158369365617357</v>
      </c>
      <c r="AB32" s="109">
        <v>78.5743</v>
      </c>
      <c r="AC32" s="359">
        <f t="shared" si="86"/>
        <v>-0.160810712668427</v>
      </c>
      <c r="AD32" s="163">
        <v>88.0018</v>
      </c>
      <c r="AE32" s="359">
        <f t="shared" si="87"/>
        <v>-0.0512150129215403</v>
      </c>
      <c r="AF32" s="163">
        <v>72.7053</v>
      </c>
      <c r="AG32" s="359">
        <f t="shared" si="88"/>
        <v>-0.152618881118881</v>
      </c>
      <c r="AH32" s="163">
        <v>66.0679</v>
      </c>
      <c r="AI32" s="359">
        <f t="shared" si="89"/>
        <v>-0.192063208663921</v>
      </c>
      <c r="AJ32" s="163">
        <v>64.5414</v>
      </c>
      <c r="AK32" s="359">
        <f t="shared" si="90"/>
        <v>-0.183146400176175</v>
      </c>
      <c r="AL32" s="163">
        <v>66.3654</v>
      </c>
      <c r="AM32" s="359">
        <f t="shared" si="91"/>
        <v>-0.142599124064959</v>
      </c>
      <c r="AN32" s="163">
        <v>69.6476</v>
      </c>
      <c r="AO32" s="359">
        <f t="shared" si="92"/>
        <v>-0.191636838024671</v>
      </c>
      <c r="AP32" s="163">
        <v>65.118</v>
      </c>
      <c r="AQ32" s="359">
        <f t="shared" si="93"/>
        <v>-0.229349980768662</v>
      </c>
      <c r="AR32" s="163">
        <v>62.5022</v>
      </c>
      <c r="AS32" s="359">
        <f t="shared" si="94"/>
        <v>-0.164985117218603</v>
      </c>
      <c r="AT32" s="107">
        <f t="shared" si="21"/>
        <v>854.0229</v>
      </c>
      <c r="AU32" s="359">
        <f t="shared" si="22"/>
        <v>-0.16191817066755</v>
      </c>
      <c r="AV32" s="360"/>
      <c r="AW32" s="450">
        <v>89.4042</v>
      </c>
      <c r="AX32" s="361">
        <v>-0.00802089493615121</v>
      </c>
      <c r="AY32" s="108">
        <v>85.1356</v>
      </c>
      <c r="AZ32" s="361">
        <f t="shared" si="65"/>
        <v>-0.0669492485780487</v>
      </c>
      <c r="BA32" s="108">
        <v>88.6011</v>
      </c>
      <c r="BB32" s="361">
        <f t="shared" si="66"/>
        <v>-0.136569436106932</v>
      </c>
      <c r="BC32" s="108">
        <v>93.6312</v>
      </c>
      <c r="BD32" s="361">
        <f t="shared" si="67"/>
        <v>-0.109823193357843</v>
      </c>
      <c r="BE32" s="362">
        <v>92.7521</v>
      </c>
      <c r="BF32" s="361">
        <f t="shared" si="68"/>
        <v>-0.112420945051727</v>
      </c>
      <c r="BG32" s="108">
        <v>85.8</v>
      </c>
      <c r="BH32" s="361">
        <f t="shared" si="69"/>
        <v>-0.191468389523767</v>
      </c>
      <c r="BI32" s="108">
        <v>81.7736</v>
      </c>
      <c r="BJ32" s="361">
        <f t="shared" si="70"/>
        <v>-0.258441353518462</v>
      </c>
      <c r="BK32" s="108">
        <v>79.0122</v>
      </c>
      <c r="BL32" s="361">
        <f t="shared" si="71"/>
        <v>-0.223106171222593</v>
      </c>
      <c r="BM32" s="108">
        <v>77.403</v>
      </c>
      <c r="BN32" s="361">
        <f t="shared" si="72"/>
        <v>-0.247839078784345</v>
      </c>
      <c r="BO32" s="108">
        <v>86.1588</v>
      </c>
      <c r="BP32" s="361">
        <f t="shared" si="73"/>
        <v>-0.208728354754722</v>
      </c>
      <c r="BQ32" s="108">
        <v>84.4975</v>
      </c>
      <c r="BR32" s="361">
        <f t="shared" si="74"/>
        <v>-0.176189515165874</v>
      </c>
      <c r="BS32" s="108">
        <v>74.8516</v>
      </c>
      <c r="BT32" s="361">
        <f t="shared" si="75"/>
        <v>-0.215923791726156</v>
      </c>
      <c r="BU32" s="108">
        <f t="shared" si="34"/>
        <v>1019.0209</v>
      </c>
      <c r="BV32" s="361">
        <f t="shared" si="35"/>
        <v>-0.165824704448504</v>
      </c>
      <c r="BW32" s="364"/>
      <c r="BX32" s="450">
        <v>90.1271</v>
      </c>
      <c r="BY32" s="361">
        <f t="shared" si="36"/>
        <v>-0.296793452860706</v>
      </c>
      <c r="BZ32" s="450">
        <v>91.24434</v>
      </c>
      <c r="CA32" s="361">
        <f t="shared" si="37"/>
        <v>-0.314391532642247</v>
      </c>
      <c r="CB32" s="108">
        <v>102.6152</v>
      </c>
      <c r="CC32" s="361">
        <f t="shared" si="38"/>
        <v>-0.132988044442567</v>
      </c>
      <c r="CD32" s="108">
        <v>105.1827</v>
      </c>
      <c r="CE32" s="361">
        <v>0.193630276895143</v>
      </c>
      <c r="CF32" s="108">
        <v>104.5001</v>
      </c>
      <c r="CG32" s="361">
        <f t="shared" si="39"/>
        <v>0.00213661074845639</v>
      </c>
      <c r="CH32" s="108">
        <v>106.1183</v>
      </c>
      <c r="CI32" s="361">
        <f t="shared" si="40"/>
        <v>0.00400207010150888</v>
      </c>
      <c r="CJ32" s="108">
        <v>110.2726</v>
      </c>
      <c r="CK32" s="361">
        <f t="shared" si="41"/>
        <v>0.0652134433780003</v>
      </c>
      <c r="CL32" s="108">
        <v>101.7027</v>
      </c>
      <c r="CM32" s="361">
        <f t="shared" si="42"/>
        <v>0.0300551373775511</v>
      </c>
      <c r="CN32" s="108">
        <f>90.7712+CN34</f>
        <v>102.9075</v>
      </c>
      <c r="CO32" s="361">
        <f t="shared" si="43"/>
        <v>0.522496238421217</v>
      </c>
      <c r="CP32" s="108">
        <f>96.9351+CP34</f>
        <v>108.8865</v>
      </c>
      <c r="CQ32" s="361">
        <f t="shared" si="44"/>
        <v>0.712779009957057</v>
      </c>
      <c r="CR32" s="108">
        <v>102.5691</v>
      </c>
      <c r="CS32" s="361">
        <f t="shared" si="45"/>
        <v>1.69090169740536</v>
      </c>
      <c r="CT32" s="108">
        <v>95.4647</v>
      </c>
      <c r="CU32" s="361">
        <f t="shared" si="46"/>
        <v>1.13435775673186</v>
      </c>
      <c r="CV32" s="108">
        <f t="shared" si="47"/>
        <v>1221.59084</v>
      </c>
      <c r="CW32" s="361">
        <f t="shared" si="48"/>
        <v>0.116664162014779</v>
      </c>
      <c r="CX32" s="365">
        <f t="shared" si="49"/>
        <v>-0.0692645250860153</v>
      </c>
      <c r="CY32" s="365"/>
      <c r="CZ32" s="453">
        <v>128.1659</v>
      </c>
      <c r="DA32" s="450">
        <v>133.0852</v>
      </c>
      <c r="DB32" s="450">
        <v>118.355</v>
      </c>
      <c r="DC32" s="450">
        <v>88.12</v>
      </c>
      <c r="DD32" s="108">
        <v>104.2773</v>
      </c>
      <c r="DE32" s="108">
        <v>105.6953</v>
      </c>
      <c r="DF32" s="108">
        <v>103.5216</v>
      </c>
      <c r="DG32" s="108">
        <v>98.7352</v>
      </c>
      <c r="DH32" s="108">
        <v>67.5913</v>
      </c>
      <c r="DI32" s="108">
        <v>63.573</v>
      </c>
      <c r="DJ32" s="108">
        <v>38.117</v>
      </c>
      <c r="DK32" s="108">
        <v>44.7276</v>
      </c>
      <c r="DL32" s="108">
        <v>1093.9644</v>
      </c>
      <c r="DM32" s="368">
        <v>-0.341006817729204</v>
      </c>
      <c r="DN32" s="369"/>
      <c r="DO32" s="370">
        <v>153.2798</v>
      </c>
      <c r="DP32" s="371">
        <f>(DO32-DX32)/DX32</f>
        <v>0.0143765295412401</v>
      </c>
      <c r="DQ32" s="388">
        <v>158.168</v>
      </c>
      <c r="DR32" s="532"/>
      <c r="DS32" s="388">
        <v>142.5601</v>
      </c>
      <c r="DT32" s="373">
        <f t="shared" si="50"/>
        <v>1.78166048780488</v>
      </c>
      <c r="DU32" s="374"/>
      <c r="DV32" s="388">
        <v>145.3739</v>
      </c>
      <c r="DW32" s="373">
        <f t="shared" si="51"/>
        <v>-0.278827760690545</v>
      </c>
      <c r="DX32" s="388">
        <v>151.1074</v>
      </c>
      <c r="DY32" s="373">
        <f t="shared" si="52"/>
        <v>-0.269942023383902</v>
      </c>
      <c r="DZ32" s="388">
        <v>142.0322</v>
      </c>
      <c r="EA32" s="373">
        <f t="shared" si="53"/>
        <v>-0.346918337318374</v>
      </c>
      <c r="EB32" s="388">
        <v>140.3826</v>
      </c>
      <c r="EC32" s="373">
        <f t="shared" si="54"/>
        <v>-0.350951962642748</v>
      </c>
      <c r="ED32" s="388">
        <v>107.8136</v>
      </c>
      <c r="EE32" s="373">
        <f t="shared" si="55"/>
        <v>-0.0985484949832776</v>
      </c>
      <c r="EF32" s="388">
        <v>124.9627</v>
      </c>
      <c r="EG32" s="373">
        <f t="shared" si="56"/>
        <v>-0.199829032464622</v>
      </c>
      <c r="EH32" s="388">
        <v>139.1247</v>
      </c>
      <c r="EI32" s="373">
        <f t="shared" si="57"/>
        <v>-0.207402153478038</v>
      </c>
      <c r="EJ32" s="388">
        <v>130.4864</v>
      </c>
      <c r="EK32" s="373">
        <f t="shared" si="58"/>
        <v>-0.182876823846202</v>
      </c>
      <c r="EL32" s="388">
        <v>124.7628</v>
      </c>
      <c r="EM32" s="373">
        <f t="shared" si="59"/>
        <v>-0.156894174888498</v>
      </c>
      <c r="EN32" s="372">
        <f t="shared" si="64"/>
        <v>1660.0542</v>
      </c>
      <c r="EO32" s="373">
        <f t="shared" si="60"/>
        <v>-0.224059810882439</v>
      </c>
      <c r="EP32" s="533">
        <v>486.86</v>
      </c>
      <c r="EQ32" s="373">
        <f>(EP32-FP32)/FP32</f>
        <v>-0.096516785124427</v>
      </c>
      <c r="ER32" s="388">
        <v>0</v>
      </c>
      <c r="ES32" s="373">
        <f>(ER32-FQ32)/FQ32</f>
        <v>-1</v>
      </c>
      <c r="ET32" s="388">
        <v>51.25</v>
      </c>
      <c r="EU32" s="373">
        <f>(ET32-FR32)/FR32</f>
        <v>-0.908374155254407</v>
      </c>
      <c r="EV32" s="388">
        <v>201.58</v>
      </c>
      <c r="EW32" s="373">
        <f>(EV32-FS32)/FS32</f>
        <v>-0.546766795575142</v>
      </c>
      <c r="EX32" s="388">
        <v>206.98</v>
      </c>
      <c r="EY32" s="373">
        <f>(EX32-FT32)/FT32</f>
        <v>-0.516232324412762</v>
      </c>
      <c r="EZ32" s="388">
        <v>217.48</v>
      </c>
      <c r="FA32" s="373">
        <f>(EZ32-FU32)/FU32</f>
        <v>-0.51541889483066</v>
      </c>
      <c r="FB32" s="388">
        <v>216.29</v>
      </c>
      <c r="FC32" s="373">
        <f>(FB32-FV32)/FV32</f>
        <v>-0.515099204125098</v>
      </c>
      <c r="FD32" s="388">
        <v>119.6</v>
      </c>
      <c r="FE32" s="373">
        <f>(FD32-FW32)/FW32</f>
        <v>-0.718707370995814</v>
      </c>
      <c r="FF32" s="388">
        <v>156.17</v>
      </c>
      <c r="FG32" s="373">
        <f>(FF32-FX32)/FX32</f>
        <v>-0.649740955884002</v>
      </c>
      <c r="FH32" s="388">
        <v>175.53</v>
      </c>
      <c r="FI32" s="373">
        <f>(FH32-FY32)/FY32</f>
        <v>-0.614296073304181</v>
      </c>
      <c r="FJ32" s="388">
        <v>159.69</v>
      </c>
      <c r="FK32" s="373">
        <f>(FJ32-GA32)/GA32</f>
        <v>-0.608823457364721</v>
      </c>
      <c r="FL32" s="388">
        <v>147.98</v>
      </c>
      <c r="FM32" s="456">
        <f>(FL32-GC32)/GC32</f>
        <v>-0.691051818447534</v>
      </c>
      <c r="FN32" s="359">
        <v>2139.41</v>
      </c>
      <c r="FO32" s="358">
        <f>(FN32-(FP32+FQ32+FR32+FS32+FT32+FU32+FV32+FW32+FX32+FY32+GA32+GC32))/(FP32+FQ32+FR32+FS32+FT32+FU32+FV32+FW32+FX32+FY32+GA32+GC32)</f>
        <v>-0.630877821371512</v>
      </c>
      <c r="FP32" s="512">
        <v>538.87</v>
      </c>
      <c r="FQ32" s="554">
        <v>716.92</v>
      </c>
      <c r="FR32" s="554">
        <v>559.34</v>
      </c>
      <c r="FS32" s="554">
        <v>444.76</v>
      </c>
      <c r="FT32" s="554">
        <v>427.85</v>
      </c>
      <c r="FU32" s="554">
        <v>448.8</v>
      </c>
      <c r="FV32" s="574">
        <v>446.05</v>
      </c>
      <c r="FW32" s="459">
        <v>425.18</v>
      </c>
      <c r="FX32" s="459">
        <v>445.87</v>
      </c>
      <c r="FY32" s="459">
        <v>455.09</v>
      </c>
      <c r="FZ32" s="368">
        <f>(FY32-HA32)/HA32</f>
        <v>-0.106492843539552</v>
      </c>
      <c r="GA32" s="459">
        <v>408.23</v>
      </c>
      <c r="GB32" s="368">
        <f>(GA32-HC32)/HC32</f>
        <v>-0.106815446887649</v>
      </c>
      <c r="GC32" s="459">
        <v>478.98</v>
      </c>
      <c r="GD32" s="368">
        <f>(GC32-HE32)/HE32</f>
        <v>-0.107213420316869</v>
      </c>
      <c r="GE32" s="455">
        <f>FP32+FQ32+FR32+FS32+FT32+FU32+FV32+FW32+FX32+FY32+GA32+GC32</f>
        <v>5795.94</v>
      </c>
      <c r="GF32" s="460">
        <f>(GE32-HG32)/HG32</f>
        <v>-0.112050409585543</v>
      </c>
      <c r="GG32" s="317"/>
      <c r="GH32" s="536"/>
      <c r="GI32" s="379">
        <v>580.38</v>
      </c>
      <c r="GJ32" s="376">
        <f>(GI32-HL32)/HL32</f>
        <v>-0.0162050378004544</v>
      </c>
      <c r="GK32" s="375">
        <v>786.27</v>
      </c>
      <c r="GL32" s="376">
        <f>(GK32-HN32)/HN32</f>
        <v>-0.0385899270019442</v>
      </c>
      <c r="GM32" s="533">
        <v>616.05</v>
      </c>
      <c r="GN32" s="376">
        <f>(GM32-HP32)/HP32</f>
        <v>-0.040211261022653</v>
      </c>
      <c r="GO32" s="533">
        <v>493.37</v>
      </c>
      <c r="GP32" s="376">
        <f>(GO32-HR32)/HR32</f>
        <v>-0.0404908691339778</v>
      </c>
      <c r="GQ32" s="533">
        <v>492.19</v>
      </c>
      <c r="GR32" s="376">
        <f>(GQ32-HT32)/HT32</f>
        <v>-0.0402098243013981</v>
      </c>
      <c r="GS32" s="375">
        <v>521.76</v>
      </c>
      <c r="GT32" s="376">
        <f>(GS32-HW32)/HW32</f>
        <v>-0.05231037489102</v>
      </c>
      <c r="GU32" s="375">
        <v>528.62</v>
      </c>
      <c r="GV32" s="376">
        <f>(GU32-HY32)/HY32</f>
        <v>-0.0358048335613315</v>
      </c>
      <c r="GW32" s="375">
        <v>507.98</v>
      </c>
      <c r="GX32" s="376">
        <f>(GW32-IA32)/IA32</f>
        <v>-0.04311790080434</v>
      </c>
      <c r="GY32" s="375">
        <v>497.83</v>
      </c>
      <c r="GZ32" s="376">
        <f>(GY32-IC32)/IC32</f>
        <v>-0.0581034548000151</v>
      </c>
      <c r="HA32" s="375">
        <v>509.33</v>
      </c>
      <c r="HB32" s="376">
        <f>(HA32-IE32)/IE32</f>
        <v>-0.0588354860764639</v>
      </c>
      <c r="HC32" s="375">
        <v>457.05</v>
      </c>
      <c r="HD32" s="376">
        <f>(HC32-IG32)/IG32</f>
        <v>-0.0591032608695652</v>
      </c>
      <c r="HE32" s="375">
        <v>536.5</v>
      </c>
      <c r="HF32" s="376">
        <f>(HE32-II32)/II32</f>
        <v>-0.0576477200871216</v>
      </c>
      <c r="HG32" s="375">
        <f>GI32+GK32+GM32+GO32+GQ32+GS32+GU32+GW32+GY32+HA32+HC32+HE32</f>
        <v>6527.33</v>
      </c>
      <c r="HH32" s="375">
        <f>HE32+HC32+HA32+GY32+GW32+GU32+GS32+GQ32+GO32+GM32+GK32+GI32</f>
        <v>6527.33</v>
      </c>
      <c r="HI32" s="377"/>
      <c r="HJ32" s="369"/>
      <c r="HK32" s="485"/>
      <c r="HL32" s="379">
        <v>589.94</v>
      </c>
      <c r="HM32" s="380">
        <f>(HL32-IN32)/IN32</f>
        <v>-0.0201959807340973</v>
      </c>
      <c r="HN32" s="462">
        <v>817.83</v>
      </c>
      <c r="HO32" s="380">
        <f>(HN32-IP32)/IP32</f>
        <v>-0.0106097265908541</v>
      </c>
      <c r="HP32" s="462">
        <v>641.86</v>
      </c>
      <c r="HQ32" s="466">
        <f>(HP32-IR32)/IR32</f>
        <v>-0.0154011351434269</v>
      </c>
      <c r="HR32" s="464">
        <v>514.19</v>
      </c>
      <c r="HS32" s="465">
        <f>(HR32-IT32)/IT32</f>
        <v>-0.0175964845242643</v>
      </c>
      <c r="HT32" s="464">
        <v>512.81</v>
      </c>
      <c r="HU32" s="465">
        <f>(HT32-IV32)/IV32</f>
        <v>-0.0192962325492447</v>
      </c>
      <c r="HV32" s="466"/>
      <c r="HW32" s="464">
        <v>550.56</v>
      </c>
      <c r="HX32" s="465">
        <f>(HW32-IX32)/IX32</f>
        <v>-0.0194835262689226</v>
      </c>
      <c r="HY32" s="464">
        <v>548.25</v>
      </c>
      <c r="HZ32" s="465">
        <f>(HY32-IZ32)/IZ32</f>
        <v>-0.0195990772697198</v>
      </c>
      <c r="IA32" s="464">
        <v>530.87</v>
      </c>
      <c r="IB32" s="390">
        <f>(IA32-JB32)/JB32</f>
        <v>-0.0167071070032784</v>
      </c>
      <c r="IC32" s="464">
        <v>528.54</v>
      </c>
      <c r="ID32" s="390">
        <f>(IC32-JD32)/JD32</f>
        <v>-0.0118161761956401</v>
      </c>
      <c r="IE32" s="464">
        <v>541.17</v>
      </c>
      <c r="IF32" s="377">
        <f>(IE32-JF32)/JF32</f>
        <v>-0.0153025947086868</v>
      </c>
      <c r="IG32" s="464">
        <v>485.76</v>
      </c>
      <c r="IH32" s="390">
        <f>(IG32-JH32)/JH32</f>
        <v>-0.013104162857317</v>
      </c>
      <c r="II32" s="464">
        <v>569.32</v>
      </c>
      <c r="IJ32" s="309">
        <f>(II32-JJ32)/JJ32</f>
        <v>-0.0138912945577995</v>
      </c>
      <c r="IK32" s="391">
        <f>HL32+HN32+HP32+HR32+HT32+HW32+HY32+IA32+IC32+IE32+IG32+II32</f>
        <v>6831.1</v>
      </c>
      <c r="IL32" s="104">
        <f>IK32/JL32-1</f>
        <v>-0.015902925740727</v>
      </c>
      <c r="IM32" s="318"/>
      <c r="IN32" s="550">
        <v>602.1</v>
      </c>
      <c r="IO32" s="505">
        <f>IN32/JP32-1</f>
        <v>0.00257466601899026</v>
      </c>
      <c r="IP32" s="508">
        <v>826.6</v>
      </c>
      <c r="IQ32" s="505">
        <f>IP32/JQ32-1</f>
        <v>0.00355178736095429</v>
      </c>
      <c r="IR32" s="575">
        <v>651.9</v>
      </c>
      <c r="IS32" s="394">
        <f>(IR32-JR32)/JR32</f>
        <v>-0.014783971824458</v>
      </c>
      <c r="IT32" s="526">
        <v>523.4</v>
      </c>
      <c r="IU32" s="505">
        <f>(IT32-JS32)/JS32</f>
        <v>0.00342893767106824</v>
      </c>
      <c r="IV32" s="526">
        <v>522.9</v>
      </c>
      <c r="IW32" s="505">
        <f>(IV32-JT32)/JT32</f>
        <v>0.00687894319188602</v>
      </c>
      <c r="IX32" s="526">
        <v>561.5</v>
      </c>
      <c r="IY32" s="501">
        <f>(IX32-JU32)/JU32</f>
        <v>0.0114411208829533</v>
      </c>
      <c r="IZ32" s="576">
        <v>559.21</v>
      </c>
      <c r="JA32" s="501">
        <f>(IZ32-JV32)/JV32</f>
        <v>0.011242417157427</v>
      </c>
      <c r="JB32" s="508">
        <v>539.89</v>
      </c>
      <c r="JC32" s="501">
        <f>(JB32-JW32)/JW32</f>
        <v>0.0114205053467772</v>
      </c>
      <c r="JD32" s="414">
        <v>534.86</v>
      </c>
      <c r="JE32" s="469">
        <f>(JD32-JX32)/JX32</f>
        <v>-0.00240493301376988</v>
      </c>
      <c r="JF32" s="414">
        <v>549.58</v>
      </c>
      <c r="JG32" s="418">
        <f>(JF32-JY32)/JY32</f>
        <v>-0.00385423209785484</v>
      </c>
      <c r="JH32" s="375">
        <v>492.21</v>
      </c>
      <c r="JI32" s="398">
        <f>(JH32-JZ32)/JZ32</f>
        <v>-0.00709849202279486</v>
      </c>
      <c r="JJ32" s="472">
        <v>577.34</v>
      </c>
      <c r="JK32" s="398">
        <f>(JJ32-KA32)/KA32</f>
        <v>-0.0214082360737665</v>
      </c>
      <c r="JL32" s="399">
        <f t="shared" si="62"/>
        <v>6941.49</v>
      </c>
      <c r="JM32" s="398">
        <f>JL32/JO32-1</f>
        <v>-0.000122410581348875</v>
      </c>
      <c r="JN32" s="400"/>
      <c r="JO32" s="528">
        <v>6942.33981585278</v>
      </c>
      <c r="JP32" s="388">
        <v>600.553774603951</v>
      </c>
      <c r="JQ32" s="388">
        <v>823.674483380389</v>
      </c>
      <c r="JR32" s="388">
        <v>661.682292367098</v>
      </c>
      <c r="JS32" s="388">
        <v>521.611426928545</v>
      </c>
      <c r="JT32" s="388">
        <v>519.327575112819</v>
      </c>
      <c r="JU32" s="388">
        <v>555.148479142147</v>
      </c>
      <c r="JV32" s="388">
        <v>552.993021764181</v>
      </c>
      <c r="JW32" s="388">
        <v>533.793804995967</v>
      </c>
      <c r="JX32" s="388">
        <v>536.149403400551</v>
      </c>
      <c r="JY32" s="388">
        <v>551.706404532943</v>
      </c>
      <c r="JZ32" s="388">
        <v>495.728927839739</v>
      </c>
      <c r="KA32" s="388">
        <v>589.970221784454</v>
      </c>
    </row>
    <row r="33" ht="28.8" hidden="1" customHeight="1" spans="1:287">
      <c r="A33" s="401"/>
      <c r="B33" s="141" t="s">
        <v>209</v>
      </c>
      <c r="C33" s="163">
        <v>2820.2439</v>
      </c>
      <c r="D33" s="359">
        <f t="shared" si="76"/>
        <v>-0.0637120114872203</v>
      </c>
      <c r="E33" s="163">
        <v>2880.7429</v>
      </c>
      <c r="F33" s="359">
        <f t="shared" si="77"/>
        <v>-0.0501748455774035</v>
      </c>
      <c r="G33" s="163">
        <v>3223.1066</v>
      </c>
      <c r="H33" s="359">
        <f t="shared" si="78"/>
        <v>-0.132084155701053</v>
      </c>
      <c r="I33" s="163">
        <v>3740.0259</v>
      </c>
      <c r="J33" s="359">
        <f t="shared" si="79"/>
        <v>-0.122717918350702</v>
      </c>
      <c r="K33" s="163">
        <v>3834.7599</v>
      </c>
      <c r="L33" s="359">
        <f t="shared" si="80"/>
        <v>-0.213665149003482</v>
      </c>
      <c r="M33" s="163">
        <v>4215.6505</v>
      </c>
      <c r="N33" s="359">
        <f t="shared" si="81"/>
        <v>0.0924055557055636</v>
      </c>
      <c r="O33" s="163">
        <v>3538.2242</v>
      </c>
      <c r="P33" s="359">
        <f t="shared" si="82"/>
        <v>-0.0089619122092246</v>
      </c>
      <c r="Q33" s="127"/>
      <c r="R33" s="127"/>
      <c r="S33" s="109">
        <f t="shared" si="7"/>
        <v>24252.7539</v>
      </c>
      <c r="T33" s="359">
        <f t="shared" si="8"/>
        <v>-0.184396994258577</v>
      </c>
      <c r="U33" s="359"/>
      <c r="V33" s="163">
        <v>3012.15431</v>
      </c>
      <c r="W33" s="359">
        <f t="shared" si="83"/>
        <v>-0.0616477642925111</v>
      </c>
      <c r="X33" s="93">
        <v>3032.91915</v>
      </c>
      <c r="Y33" s="402">
        <f t="shared" si="84"/>
        <v>-0.0778028153031528</v>
      </c>
      <c r="Z33" s="93">
        <v>3713.6165</v>
      </c>
      <c r="AA33" s="402">
        <f t="shared" si="85"/>
        <v>-0.0767689692729214</v>
      </c>
      <c r="AB33" s="93">
        <v>4263.1965</v>
      </c>
      <c r="AC33" s="402">
        <f t="shared" si="86"/>
        <v>-0.150641720073858</v>
      </c>
      <c r="AD33" s="163">
        <v>4876.7518</v>
      </c>
      <c r="AE33" s="402">
        <f t="shared" si="87"/>
        <v>0.0652863039848803</v>
      </c>
      <c r="AF33" s="163">
        <v>3859.0526</v>
      </c>
      <c r="AG33" s="402">
        <f t="shared" si="88"/>
        <v>0.0251967831628375</v>
      </c>
      <c r="AH33" s="163">
        <v>3570.2202</v>
      </c>
      <c r="AI33" s="402">
        <f t="shared" si="89"/>
        <v>-0.0367772457327007</v>
      </c>
      <c r="AJ33" s="163">
        <v>3408.068</v>
      </c>
      <c r="AK33" s="402">
        <f t="shared" si="90"/>
        <v>-0.00891138969283167</v>
      </c>
      <c r="AL33" s="163">
        <v>3530.7566</v>
      </c>
      <c r="AM33" s="402">
        <f t="shared" si="91"/>
        <v>0.0204612392363326</v>
      </c>
      <c r="AN33" s="163">
        <v>3837.5662</v>
      </c>
      <c r="AO33" s="402">
        <f t="shared" si="92"/>
        <v>-0.114907271443536</v>
      </c>
      <c r="AP33" s="163">
        <v>4288.0104</v>
      </c>
      <c r="AQ33" s="402">
        <f t="shared" si="93"/>
        <v>-0.00795569940677154</v>
      </c>
      <c r="AR33" s="163">
        <v>3095.6344</v>
      </c>
      <c r="AS33" s="402">
        <f t="shared" si="94"/>
        <v>-0.0559796101668488</v>
      </c>
      <c r="AT33" s="107">
        <f t="shared" si="21"/>
        <v>44487.94666</v>
      </c>
      <c r="AU33" s="359">
        <f t="shared" si="22"/>
        <v>-0.0417294361778934</v>
      </c>
      <c r="AV33" s="360"/>
      <c r="AW33" s="488">
        <v>3210.0465</v>
      </c>
      <c r="AX33" s="404">
        <v>0.108768588357007</v>
      </c>
      <c r="AY33" s="403">
        <v>3288.7968</v>
      </c>
      <c r="AZ33" s="405">
        <f t="shared" si="65"/>
        <v>-0.123084217526718</v>
      </c>
      <c r="BA33" s="403">
        <v>4022.413</v>
      </c>
      <c r="BB33" s="405">
        <f t="shared" si="66"/>
        <v>-0.212950653218127</v>
      </c>
      <c r="BC33" s="403">
        <v>5019.3147</v>
      </c>
      <c r="BD33" s="405">
        <f t="shared" si="67"/>
        <v>-0.160569618900426</v>
      </c>
      <c r="BE33" s="406">
        <v>4577.879</v>
      </c>
      <c r="BF33" s="405">
        <f t="shared" si="68"/>
        <v>0.0253367680857846</v>
      </c>
      <c r="BG33" s="403">
        <v>3764.2067</v>
      </c>
      <c r="BH33" s="405">
        <f t="shared" si="69"/>
        <v>-0.226932667458517</v>
      </c>
      <c r="BI33" s="403">
        <v>3706.5364</v>
      </c>
      <c r="BJ33" s="405">
        <f t="shared" si="70"/>
        <v>-0.22991773362475</v>
      </c>
      <c r="BK33" s="163">
        <v>3438.7117</v>
      </c>
      <c r="BL33" s="402">
        <f t="shared" si="71"/>
        <v>-0.257320049586412</v>
      </c>
      <c r="BM33" s="163">
        <v>3459.9615</v>
      </c>
      <c r="BN33" s="402">
        <f t="shared" si="72"/>
        <v>-0.256858520439539</v>
      </c>
      <c r="BO33" s="163">
        <v>4335.7787</v>
      </c>
      <c r="BP33" s="402">
        <f t="shared" si="73"/>
        <v>-0.169899736536928</v>
      </c>
      <c r="BQ33" s="163">
        <v>4322.3981</v>
      </c>
      <c r="BR33" s="402">
        <f t="shared" si="74"/>
        <v>-0.111433967235902</v>
      </c>
      <c r="BS33" s="163">
        <v>3279.2029</v>
      </c>
      <c r="BT33" s="402">
        <f t="shared" si="75"/>
        <v>-0.187516984527158</v>
      </c>
      <c r="BU33" s="109">
        <f t="shared" si="34"/>
        <v>46425.246</v>
      </c>
      <c r="BV33" s="359">
        <f t="shared" si="35"/>
        <v>-0.160370475003501</v>
      </c>
      <c r="BW33" s="429"/>
      <c r="BX33" s="93">
        <v>2895.1456</v>
      </c>
      <c r="BY33" s="402">
        <f t="shared" si="36"/>
        <v>-0.380004291567926</v>
      </c>
      <c r="BZ33" s="93">
        <v>3750.4135126</v>
      </c>
      <c r="CA33" s="359">
        <f t="shared" si="37"/>
        <v>-0.327474088532883</v>
      </c>
      <c r="CB33" s="109">
        <v>5110.7507</v>
      </c>
      <c r="CC33" s="359">
        <f t="shared" si="38"/>
        <v>0.136504014727818</v>
      </c>
      <c r="CD33" s="109">
        <v>5979.4294</v>
      </c>
      <c r="CE33" s="359">
        <v>0.949103973660203</v>
      </c>
      <c r="CF33" s="163">
        <v>4464.7565</v>
      </c>
      <c r="CG33" s="359">
        <f t="shared" si="39"/>
        <v>0.232716013097818</v>
      </c>
      <c r="CH33" s="163">
        <v>4869.1835</v>
      </c>
      <c r="CI33" s="359">
        <f t="shared" si="40"/>
        <v>0.184372452685751</v>
      </c>
      <c r="CJ33" s="163">
        <v>4813.1694</v>
      </c>
      <c r="CK33" s="359">
        <f t="shared" si="41"/>
        <v>0.158686232311759</v>
      </c>
      <c r="CL33" s="109">
        <v>4630.1394</v>
      </c>
      <c r="CM33" s="359">
        <f t="shared" si="42"/>
        <v>0.275422502662261</v>
      </c>
      <c r="CN33" s="109">
        <f>4460.9907+CN35</f>
        <v>4655.8584</v>
      </c>
      <c r="CO33" s="359">
        <f t="shared" si="43"/>
        <v>1.14486121966525</v>
      </c>
      <c r="CP33" s="109">
        <f>5022.4635+CP35</f>
        <v>5223.1988</v>
      </c>
      <c r="CQ33" s="359">
        <f t="shared" si="44"/>
        <v>1.64019722427417</v>
      </c>
      <c r="CR33" s="109">
        <v>4864.4647</v>
      </c>
      <c r="CS33" s="359">
        <f t="shared" si="45"/>
        <v>2.85102081885908</v>
      </c>
      <c r="CT33" s="109">
        <v>4036.0264</v>
      </c>
      <c r="CU33" s="359">
        <f t="shared" si="46"/>
        <v>1.68996604573246</v>
      </c>
      <c r="CV33" s="109">
        <f t="shared" si="47"/>
        <v>55292.5363126</v>
      </c>
      <c r="CW33" s="359">
        <f t="shared" si="48"/>
        <v>0.374039344787199</v>
      </c>
      <c r="CX33" s="408">
        <f t="shared" si="49"/>
        <v>-0.170304103553265</v>
      </c>
      <c r="CY33" s="408"/>
      <c r="CZ33" s="490">
        <v>4669.622</v>
      </c>
      <c r="DA33" s="93">
        <v>5576.6082</v>
      </c>
      <c r="DB33" s="93">
        <v>4496.9051</v>
      </c>
      <c r="DC33" s="107">
        <v>3067.7837</v>
      </c>
      <c r="DD33" s="163">
        <v>3621.8857</v>
      </c>
      <c r="DE33" s="163">
        <v>4111.1928</v>
      </c>
      <c r="DF33" s="109">
        <v>4153.9886</v>
      </c>
      <c r="DG33" s="109">
        <v>3630.2789</v>
      </c>
      <c r="DH33" s="109">
        <v>2170.7038</v>
      </c>
      <c r="DI33" s="109">
        <v>1978.3366</v>
      </c>
      <c r="DJ33" s="109">
        <v>1263.1624</v>
      </c>
      <c r="DK33" s="109">
        <v>1500.4005</v>
      </c>
      <c r="DL33" s="109">
        <v>40240.8683</v>
      </c>
      <c r="DM33" s="410">
        <v>-0.367672673545035</v>
      </c>
      <c r="DN33" s="411"/>
      <c r="DO33" s="412">
        <v>5800.9441</v>
      </c>
      <c r="DP33" s="87">
        <f>(DO33-DX33)/DX33</f>
        <v>-0.0878278216201734</v>
      </c>
      <c r="DQ33" s="424">
        <v>5920.4927</v>
      </c>
      <c r="DR33" s="304"/>
      <c r="DS33" s="424">
        <v>5533.9084</v>
      </c>
      <c r="DT33" s="104">
        <f t="shared" si="50"/>
        <v>1.52949761170152</v>
      </c>
      <c r="DU33" s="103"/>
      <c r="DV33" s="424">
        <v>5985.4238</v>
      </c>
      <c r="DW33" s="104">
        <f t="shared" si="51"/>
        <v>-0.339759462226105</v>
      </c>
      <c r="DX33" s="424">
        <v>6359.4837</v>
      </c>
      <c r="DY33" s="104">
        <f t="shared" si="52"/>
        <v>-0.354584678057751</v>
      </c>
      <c r="DZ33" s="424">
        <v>5787.4575</v>
      </c>
      <c r="EA33" s="104">
        <f t="shared" si="53"/>
        <v>-0.338979696962083</v>
      </c>
      <c r="EB33" s="424">
        <v>5620.9966</v>
      </c>
      <c r="EC33" s="104">
        <f t="shared" si="54"/>
        <v>-0.4021621937821</v>
      </c>
      <c r="ED33" s="424">
        <v>3407.2583</v>
      </c>
      <c r="EE33" s="104">
        <f t="shared" si="55"/>
        <v>-0.600312230198949</v>
      </c>
      <c r="EF33" s="424">
        <v>4483.1789</v>
      </c>
      <c r="EG33" s="104">
        <f t="shared" si="56"/>
        <v>-0.502510220160682</v>
      </c>
      <c r="EH33" s="424">
        <v>5366.2515</v>
      </c>
      <c r="EI33" s="104">
        <f t="shared" si="57"/>
        <v>-0.452316573944514</v>
      </c>
      <c r="EJ33" s="424">
        <v>4903.162</v>
      </c>
      <c r="EK33" s="104">
        <f t="shared" si="58"/>
        <v>-0.460716300831831</v>
      </c>
      <c r="EL33" s="424">
        <v>4470.7423</v>
      </c>
      <c r="EM33" s="104">
        <f t="shared" si="59"/>
        <v>-0.477992111867216</v>
      </c>
      <c r="EN33" s="93">
        <f t="shared" si="64"/>
        <v>63639.2998</v>
      </c>
      <c r="EO33" s="104">
        <f t="shared" si="60"/>
        <v>-0.376504205786992</v>
      </c>
      <c r="EP33" s="515">
        <v>17813.4</v>
      </c>
      <c r="EQ33" s="104">
        <f>(EP33-FP33)/FP33</f>
        <v>-0.0917008212394361</v>
      </c>
      <c r="ER33" s="424">
        <v>0</v>
      </c>
      <c r="ES33" s="104">
        <f>(ER33-FQ33)/FQ33</f>
        <v>-1</v>
      </c>
      <c r="ET33" s="424">
        <v>2187.75</v>
      </c>
      <c r="EU33" s="104">
        <f>(ET33-FR33)/FR33</f>
        <v>-0.901697352310129</v>
      </c>
      <c r="EV33" s="424">
        <v>9065.52</v>
      </c>
      <c r="EW33" s="104">
        <f>(EV33-FS33)/FS33</f>
        <v>-0.523300412362243</v>
      </c>
      <c r="EX33" s="424">
        <v>9853.32</v>
      </c>
      <c r="EY33" s="104">
        <f>(EX33-FT33)/FT33</f>
        <v>-0.537879256878824</v>
      </c>
      <c r="EZ33" s="424">
        <v>8755.34</v>
      </c>
      <c r="FA33" s="104">
        <f>(EZ33-FU33)/FU33</f>
        <v>-0.53210025651988</v>
      </c>
      <c r="FB33" s="424">
        <v>9402.21</v>
      </c>
      <c r="FC33" s="104">
        <f>(FB33-FV33)/FV33</f>
        <v>-0.531799523842485</v>
      </c>
      <c r="FD33" s="424">
        <v>8524.8</v>
      </c>
      <c r="FE33" s="104">
        <f>(FD33-FW33)/FW33</f>
        <v>-0.562554393339792</v>
      </c>
      <c r="FF33" s="424">
        <v>9011.6</v>
      </c>
      <c r="FG33" s="104">
        <f>(FF33-FX33)/FX33</f>
        <v>-0.598943820714768</v>
      </c>
      <c r="FH33" s="424">
        <v>9798.09</v>
      </c>
      <c r="FI33" s="104">
        <f>(FH33-FY33)/FY33</f>
        <v>-0.503578981287359</v>
      </c>
      <c r="FJ33" s="424">
        <v>9091.99</v>
      </c>
      <c r="FK33" s="104">
        <f>(FJ33-GA33)/GA33</f>
        <v>-0.472553858505978</v>
      </c>
      <c r="FL33" s="424">
        <v>8564.511</v>
      </c>
      <c r="FM33" s="456">
        <f>(FL33-GC33)/GC33</f>
        <v>-0.702836073770256</v>
      </c>
      <c r="FN33" s="95">
        <v>102068.531</v>
      </c>
      <c r="FO33" s="96">
        <f>(FN33-(FP33+FQ33+FR33+FS33+FT33+FU33+FV33+FW33+FX33+FY33+GA33+GC33))/(FP33+FQ33+FR33+FS33+FT33+FU33+FV33+FW33+FX33+FY33+GA33+GC33)</f>
        <v>-0.601190050855545</v>
      </c>
      <c r="FP33" s="490">
        <v>19611.82</v>
      </c>
      <c r="FQ33" s="557">
        <v>27179.48</v>
      </c>
      <c r="FR33" s="557">
        <v>22255.25</v>
      </c>
      <c r="FS33" s="557">
        <v>19017.26</v>
      </c>
      <c r="FT33" s="557">
        <v>21321.96</v>
      </c>
      <c r="FU33" s="557">
        <v>18712</v>
      </c>
      <c r="FV33" s="578">
        <v>20081.59</v>
      </c>
      <c r="FW33" s="480">
        <v>19487.68</v>
      </c>
      <c r="FX33" s="480">
        <v>22469.67</v>
      </c>
      <c r="FY33" s="480">
        <v>19737.46</v>
      </c>
      <c r="FZ33" s="491">
        <f>(FY33-HA33)/HA33</f>
        <v>-0.10770008354521</v>
      </c>
      <c r="GA33" s="480">
        <v>17237.76</v>
      </c>
      <c r="GB33" s="491">
        <f>(GA33-HC33)/HC33</f>
        <v>-0.108100472809569</v>
      </c>
      <c r="GC33" s="480">
        <v>28820.83</v>
      </c>
      <c r="GD33" s="491">
        <f>(GC33-HE33)/HE33</f>
        <v>-0.108600121860318</v>
      </c>
      <c r="GE33" s="492">
        <f>FP33+FQ33+FR33+FS33+FT33+FU33+FV33+FW33+FX33+FY33+GA33+GC33</f>
        <v>255932.76</v>
      </c>
      <c r="GF33" s="481">
        <f>(GE33-HG33)/HG33</f>
        <v>-0.106898052009777</v>
      </c>
      <c r="GG33" s="415"/>
      <c r="GH33" s="318"/>
      <c r="GI33" s="417">
        <v>20970.74</v>
      </c>
      <c r="GJ33" s="104">
        <f>(GI33-HL33)/HL33</f>
        <v>-0.0187001909653411</v>
      </c>
      <c r="GK33" s="103">
        <v>28751.57</v>
      </c>
      <c r="GL33" s="104">
        <f>(GK33-HN33)/HN33</f>
        <v>-0.0441222379550187</v>
      </c>
      <c r="GM33" s="424">
        <v>23766.82</v>
      </c>
      <c r="GN33" s="104">
        <f>(GM33-HP33)/HP33</f>
        <v>-0.0511001245273331</v>
      </c>
      <c r="GO33" s="424">
        <v>20585.91</v>
      </c>
      <c r="GP33" s="104">
        <f>(GO33-HR33)/HR33</f>
        <v>-0.0513003316269631</v>
      </c>
      <c r="GQ33" s="424">
        <v>24373.98</v>
      </c>
      <c r="GR33" s="104">
        <f>(GQ33-HT33)/HT33</f>
        <v>-0.0508001845905809</v>
      </c>
      <c r="GS33" s="103">
        <v>21914.15</v>
      </c>
      <c r="GT33" s="104">
        <f>(GS33-HW33)/HW33</f>
        <v>-0.0634002007046889</v>
      </c>
      <c r="GU33" s="103">
        <v>23980.89</v>
      </c>
      <c r="GV33" s="104">
        <f>(GU33-HY33)/HY33</f>
        <v>-0.0312000190682494</v>
      </c>
      <c r="GW33" s="103">
        <v>23308.65</v>
      </c>
      <c r="GX33" s="104">
        <f>(GW33-IA33)/IA33</f>
        <v>-0.038399814517167</v>
      </c>
      <c r="GY33" s="103">
        <v>25134.53</v>
      </c>
      <c r="GZ33" s="104">
        <f>(GY33-IC33)/IC33</f>
        <v>-0.0476000474409007</v>
      </c>
      <c r="HA33" s="103">
        <v>22119.76</v>
      </c>
      <c r="HB33" s="104">
        <f>(HA33-IE33)/IE33</f>
        <v>-0.0492597942991934</v>
      </c>
      <c r="HC33" s="103">
        <v>19327.02</v>
      </c>
      <c r="HD33" s="104">
        <f>(HC33-IG33)/IG33</f>
        <v>-0.0496000377661517</v>
      </c>
      <c r="HE33" s="103">
        <v>32332.1</v>
      </c>
      <c r="HF33" s="104">
        <f>(HE33-II33)/II33</f>
        <v>-0.0487011038234259</v>
      </c>
      <c r="HG33" s="414">
        <f>GI33+GK33+GM33+GO33+GQ33+GS33+GU33+GW33+GY33+HA33+HC33+HE33</f>
        <v>286566.12</v>
      </c>
      <c r="HH33" s="103">
        <f>HE33+HC33+HA33+GY33+GW33+GU33+GS33+GQ33+GO33+GM33+GK33+GI33</f>
        <v>286566.12</v>
      </c>
      <c r="HI33" s="394"/>
      <c r="HJ33" s="411"/>
      <c r="HK33" s="493"/>
      <c r="HL33" s="417">
        <v>21370.37</v>
      </c>
      <c r="HM33" s="418">
        <f>(HL33-IN33)/IN33</f>
        <v>-0.0294004369212044</v>
      </c>
      <c r="HN33" s="421">
        <v>30078.71</v>
      </c>
      <c r="HO33" s="418">
        <f>(HN33-IP33)/IP33</f>
        <v>-0.0121999198691635</v>
      </c>
      <c r="HP33" s="421">
        <v>25046.71</v>
      </c>
      <c r="HQ33" s="423">
        <f>(HP33-IR33)/IR33</f>
        <v>-0.0218001241949784</v>
      </c>
      <c r="HR33" s="439">
        <v>21699.08</v>
      </c>
      <c r="HS33" s="304">
        <f>(HR33-IT33)/IT33</f>
        <v>-0.0214002236894323</v>
      </c>
      <c r="HT33" s="439">
        <v>25678.45</v>
      </c>
      <c r="HU33" s="304">
        <f>(HT33-IV33)/IV33</f>
        <v>-0.0225999345315581</v>
      </c>
      <c r="HV33" s="423"/>
      <c r="HW33" s="439">
        <v>23397.56</v>
      </c>
      <c r="HX33" s="304">
        <f>(HW33-IX33)/IX33</f>
        <v>-0.022401049566093</v>
      </c>
      <c r="HY33" s="439">
        <v>24753.19</v>
      </c>
      <c r="HZ33" s="304">
        <f>(HY33-IZ33)/IZ33</f>
        <v>-0.0225001342655045</v>
      </c>
      <c r="IA33" s="439">
        <v>24239.44</v>
      </c>
      <c r="IB33" s="422">
        <f>(IA33-JB33)/JB33</f>
        <v>-0.017389048337144</v>
      </c>
      <c r="IC33" s="439">
        <v>26390.73</v>
      </c>
      <c r="ID33" s="425">
        <f>(IC33-JD33)/JD33</f>
        <v>-0.0122002434434219</v>
      </c>
      <c r="IE33" s="439">
        <v>23265.83</v>
      </c>
      <c r="IF33" s="500">
        <f>(IE33-JF33)/JF33</f>
        <v>-0.0148001256810191</v>
      </c>
      <c r="IG33" s="439">
        <v>20335.67</v>
      </c>
      <c r="IH33" s="309">
        <f>(IG33-JH33)/JH33</f>
        <v>-0.0137000718784527</v>
      </c>
      <c r="II33" s="439">
        <v>33987.32</v>
      </c>
      <c r="IJ33" s="309">
        <f>(II33-JJ33)/JJ33</f>
        <v>-0.0141499062802936</v>
      </c>
      <c r="IK33" s="391">
        <f>HL33+HN33+HP33+HR33+HT33+HW33+HY33+IA33+IC33+IE33+IG33+II33</f>
        <v>300243.06</v>
      </c>
      <c r="IL33" s="104">
        <f>IK33/JL33-1</f>
        <v>-0.0183931707225212</v>
      </c>
      <c r="IM33" s="318"/>
      <c r="IN33" s="518">
        <v>22017.7</v>
      </c>
      <c r="IO33" s="304">
        <f>IN33/JP33-1</f>
        <v>0.00115219562728797</v>
      </c>
      <c r="IP33" s="103">
        <v>30450.2</v>
      </c>
      <c r="IQ33" s="304">
        <f>IP33/JQ33-1</f>
        <v>0.00288951100412049</v>
      </c>
      <c r="IR33" s="424">
        <v>25604.9</v>
      </c>
      <c r="IS33" s="394">
        <f>(IR33-JR33)/JR33</f>
        <v>-0.0364383381521766</v>
      </c>
      <c r="IT33" s="517">
        <v>22173.6</v>
      </c>
      <c r="IU33" s="304">
        <f>(IT33-JS33)/JS33</f>
        <v>0.00829514772823211</v>
      </c>
      <c r="IV33" s="517">
        <v>26272.2</v>
      </c>
      <c r="IW33" s="304">
        <f>(IV33-JT33)/JT33</f>
        <v>0.00718094644572499</v>
      </c>
      <c r="IX33" s="517">
        <v>23933.7</v>
      </c>
      <c r="IY33" s="418">
        <f>(IX33-JU33)/JU33</f>
        <v>0.0112003847267695</v>
      </c>
      <c r="IZ33" s="579">
        <v>25322.96</v>
      </c>
      <c r="JA33" s="418">
        <f>(IZ33-JV33)/JV33</f>
        <v>0.0103612795094798</v>
      </c>
      <c r="JB33" s="103">
        <v>24668.4</v>
      </c>
      <c r="JC33" s="418">
        <f>(JB33-JW33)/JW33</f>
        <v>0.0104984254118663</v>
      </c>
      <c r="JD33" s="103">
        <v>26716.68</v>
      </c>
      <c r="JE33" s="394">
        <f>(JD33-JX33)/JX33</f>
        <v>-0.00399476057443023</v>
      </c>
      <c r="JF33" s="103">
        <v>23615.34</v>
      </c>
      <c r="JG33" s="418">
        <f>(JF33-JY33)/JY33</f>
        <v>-0.00458222603916684</v>
      </c>
      <c r="JH33" s="103">
        <v>20618.14</v>
      </c>
      <c r="JI33" s="418">
        <f>(JH33-JZ33)/JZ33</f>
        <v>-0.00948348883642634</v>
      </c>
      <c r="JJ33" s="103">
        <v>34475.14</v>
      </c>
      <c r="JK33" s="418">
        <f>(JJ33-KA33)/KA33</f>
        <v>-0.0307964902407774</v>
      </c>
      <c r="JL33" s="399">
        <f t="shared" si="62"/>
        <v>305868.96</v>
      </c>
      <c r="JM33" s="398">
        <f>JL33/JO33-1</f>
        <v>-0.00395047298040141</v>
      </c>
      <c r="JN33" s="400"/>
      <c r="JO33" s="518">
        <v>307082.079457663</v>
      </c>
      <c r="JP33" s="424">
        <v>21992.3604984</v>
      </c>
      <c r="JQ33" s="424">
        <v>30362.4673165765</v>
      </c>
      <c r="JR33" s="424">
        <v>26573.1826138635</v>
      </c>
      <c r="JS33" s="424">
        <v>21991.1799138961</v>
      </c>
      <c r="JT33" s="424">
        <v>26084.885831799</v>
      </c>
      <c r="JU33" s="424">
        <v>23668.6025455449</v>
      </c>
      <c r="JV33" s="424">
        <v>25063.2724289415</v>
      </c>
      <c r="JW33" s="424">
        <v>24412.1112706786</v>
      </c>
      <c r="JX33" s="424">
        <v>26823.8347977049</v>
      </c>
      <c r="JY33" s="424">
        <v>23724.0489548755</v>
      </c>
      <c r="JZ33" s="424">
        <v>20815.5439789485</v>
      </c>
      <c r="KA33" s="424">
        <v>35570.5893064343</v>
      </c>
    </row>
    <row r="34" ht="28.8" customHeight="1" spans="1:287">
      <c r="A34" s="401"/>
      <c r="B34" s="141" t="s">
        <v>211</v>
      </c>
      <c r="C34" s="163">
        <v>2.3455</v>
      </c>
      <c r="D34" s="402">
        <f t="shared" si="76"/>
        <v>-0.651656691369759</v>
      </c>
      <c r="E34" s="163">
        <v>2.41</v>
      </c>
      <c r="F34" s="359">
        <f t="shared" si="77"/>
        <v>-0.633571537175004</v>
      </c>
      <c r="G34" s="163">
        <v>2.159</v>
      </c>
      <c r="H34" s="359">
        <f t="shared" si="78"/>
        <v>-0.644269425953997</v>
      </c>
      <c r="I34" s="163">
        <v>2.0569</v>
      </c>
      <c r="J34" s="359">
        <f t="shared" si="79"/>
        <v>-0.61273134637471</v>
      </c>
      <c r="K34" s="163">
        <v>2.0727</v>
      </c>
      <c r="L34" s="359">
        <f t="shared" si="80"/>
        <v>-0.612260550733313</v>
      </c>
      <c r="M34" s="163">
        <v>2.3384</v>
      </c>
      <c r="N34" s="402">
        <f t="shared" si="81"/>
        <v>-0.54633815113008</v>
      </c>
      <c r="O34" s="163">
        <v>2.1802</v>
      </c>
      <c r="P34" s="402">
        <f t="shared" si="82"/>
        <v>-0.531583018219319</v>
      </c>
      <c r="Q34" s="127"/>
      <c r="R34" s="127"/>
      <c r="S34" s="109">
        <f t="shared" si="7"/>
        <v>15.5627</v>
      </c>
      <c r="T34" s="359">
        <f t="shared" si="8"/>
        <v>-0.650126233956597</v>
      </c>
      <c r="U34" s="359"/>
      <c r="V34" s="163">
        <v>6.7333</v>
      </c>
      <c r="W34" s="402">
        <f t="shared" si="83"/>
        <v>-0.340990281189747</v>
      </c>
      <c r="X34" s="163">
        <v>6.577</v>
      </c>
      <c r="Y34" s="402">
        <f t="shared" si="84"/>
        <v>-0.33457440888718</v>
      </c>
      <c r="Z34" s="163">
        <v>6.0692</v>
      </c>
      <c r="AA34" s="402">
        <f t="shared" si="85"/>
        <v>-0.34355091666216</v>
      </c>
      <c r="AB34" s="163">
        <v>5.3113</v>
      </c>
      <c r="AC34" s="402">
        <f t="shared" si="86"/>
        <v>-0.391763910997103</v>
      </c>
      <c r="AD34" s="163">
        <v>5.3456</v>
      </c>
      <c r="AE34" s="402">
        <f t="shared" si="87"/>
        <v>-0.40473486113895</v>
      </c>
      <c r="AF34" s="163">
        <v>5.1545</v>
      </c>
      <c r="AG34" s="402">
        <f t="shared" si="88"/>
        <v>-0.42685110026353</v>
      </c>
      <c r="AH34" s="163">
        <v>4.6544</v>
      </c>
      <c r="AI34" s="402">
        <f t="shared" si="89"/>
        <v>-0.453208336270294</v>
      </c>
      <c r="AJ34" s="163">
        <v>4.6356</v>
      </c>
      <c r="AK34" s="402">
        <f t="shared" si="90"/>
        <v>-0.434779427902553</v>
      </c>
      <c r="AL34" s="163">
        <v>4.6952</v>
      </c>
      <c r="AM34" s="402">
        <f t="shared" si="91"/>
        <v>-0.437815055617419</v>
      </c>
      <c r="AN34" s="163">
        <v>4.8767</v>
      </c>
      <c r="AO34" s="402">
        <f t="shared" si="92"/>
        <v>-0.435521396409431</v>
      </c>
      <c r="AP34" s="163">
        <v>4.6494</v>
      </c>
      <c r="AQ34" s="402">
        <f t="shared" si="93"/>
        <v>-0.431453831761987</v>
      </c>
      <c r="AR34" s="163">
        <v>4.2354</v>
      </c>
      <c r="AS34" s="402">
        <f t="shared" si="94"/>
        <v>-0.488978173525899</v>
      </c>
      <c r="AT34" s="93">
        <f t="shared" si="21"/>
        <v>62.9376</v>
      </c>
      <c r="AU34" s="402">
        <f t="shared" si="22"/>
        <v>-0.407494994017297</v>
      </c>
      <c r="AV34" s="360"/>
      <c r="AW34" s="93">
        <v>10.2173</v>
      </c>
      <c r="AX34" s="402">
        <v>-0.211828778166053</v>
      </c>
      <c r="AY34" s="163">
        <v>9.8839</v>
      </c>
      <c r="AZ34" s="402">
        <f t="shared" si="65"/>
        <v>-0.124112494727253</v>
      </c>
      <c r="BA34" s="93">
        <v>9.2455</v>
      </c>
      <c r="BB34" s="402">
        <f t="shared" si="66"/>
        <v>-0.197209270016585</v>
      </c>
      <c r="BC34" s="93">
        <v>8.7323</v>
      </c>
      <c r="BD34" s="402">
        <f t="shared" si="67"/>
        <v>-0.220838203670822</v>
      </c>
      <c r="BE34" s="93">
        <v>8.9802</v>
      </c>
      <c r="BF34" s="402">
        <f t="shared" si="68"/>
        <v>-0.225170191287241</v>
      </c>
      <c r="BG34" s="93">
        <v>8.9933</v>
      </c>
      <c r="BH34" s="402">
        <f t="shared" si="69"/>
        <v>-0.216741131694232</v>
      </c>
      <c r="BI34" s="93">
        <v>8.5122</v>
      </c>
      <c r="BJ34" s="402">
        <f t="shared" si="70"/>
        <v>-0.543899694582864</v>
      </c>
      <c r="BK34" s="93">
        <v>8.2014</v>
      </c>
      <c r="BL34" s="402">
        <f t="shared" si="71"/>
        <v>-0.294120684758192</v>
      </c>
      <c r="BM34" s="93">
        <v>8.3517</v>
      </c>
      <c r="BN34" s="402">
        <f t="shared" si="72"/>
        <v>-0.311841335497639</v>
      </c>
      <c r="BO34" s="93">
        <v>8.6393</v>
      </c>
      <c r="BP34" s="402">
        <f t="shared" si="73"/>
        <v>-0.277130712719849</v>
      </c>
      <c r="BQ34" s="93">
        <v>8.1777</v>
      </c>
      <c r="BR34" s="402">
        <f t="shared" si="74"/>
        <v>-0.200756465138099</v>
      </c>
      <c r="BS34" s="93">
        <v>8.2881</v>
      </c>
      <c r="BT34" s="402">
        <f t="shared" si="75"/>
        <v>-0.176059488423418</v>
      </c>
      <c r="BU34" s="163">
        <f t="shared" si="34"/>
        <v>106.2229</v>
      </c>
      <c r="BV34" s="402">
        <f t="shared" si="35"/>
        <v>-0.265928948395564</v>
      </c>
      <c r="BW34" s="429"/>
      <c r="BX34" s="93">
        <v>12.9633</v>
      </c>
      <c r="BY34" s="402">
        <f t="shared" si="36"/>
        <v>-0.120219617637278</v>
      </c>
      <c r="BZ34" s="93">
        <v>11.28444</v>
      </c>
      <c r="CA34" s="402">
        <f t="shared" si="37"/>
        <v>-0.260487702581377</v>
      </c>
      <c r="CB34" s="163">
        <v>11.5167</v>
      </c>
      <c r="CC34" s="402">
        <f t="shared" si="38"/>
        <v>-0.181139480813123</v>
      </c>
      <c r="CD34" s="163">
        <v>11.2073</v>
      </c>
      <c r="CE34" s="402">
        <v>-0.196672663804288</v>
      </c>
      <c r="CF34" s="163">
        <v>11.5899</v>
      </c>
      <c r="CG34" s="402">
        <f t="shared" si="39"/>
        <v>-0.175747274395318</v>
      </c>
      <c r="CH34" s="163">
        <v>11.4819</v>
      </c>
      <c r="CI34" s="402">
        <f t="shared" si="40"/>
        <v>-0.190982497674812</v>
      </c>
      <c r="CJ34" s="163">
        <v>18.663</v>
      </c>
      <c r="CK34" s="402">
        <f t="shared" si="41"/>
        <v>0.348745781330173</v>
      </c>
      <c r="CL34" s="163">
        <v>11.6187</v>
      </c>
      <c r="CM34" s="402">
        <f t="shared" si="42"/>
        <v>-0.146010348984212</v>
      </c>
      <c r="CN34" s="163">
        <v>12.1363</v>
      </c>
      <c r="CO34" s="402">
        <f t="shared" si="43"/>
        <v>0.268306701919761</v>
      </c>
      <c r="CP34" s="163">
        <v>11.9514</v>
      </c>
      <c r="CQ34" s="402">
        <f t="shared" si="44"/>
        <v>0.205811431165817</v>
      </c>
      <c r="CR34" s="163">
        <v>10.2318</v>
      </c>
      <c r="CS34" s="402">
        <f t="shared" si="45"/>
        <v>0.0980446867420748</v>
      </c>
      <c r="CT34" s="163">
        <v>10.0591</v>
      </c>
      <c r="CU34" s="402">
        <f t="shared" si="46"/>
        <v>0.152931872363836</v>
      </c>
      <c r="CV34" s="163">
        <f t="shared" si="47"/>
        <v>144.70384</v>
      </c>
      <c r="CW34" s="402">
        <f t="shared" si="48"/>
        <v>-0.0431462790156372</v>
      </c>
      <c r="CX34" s="408">
        <f t="shared" si="49"/>
        <v>-0.0168787505619733</v>
      </c>
      <c r="CY34" s="408"/>
      <c r="CZ34" s="490">
        <v>14.7347</v>
      </c>
      <c r="DA34" s="93">
        <v>15.2593</v>
      </c>
      <c r="DB34" s="93">
        <v>14.0643</v>
      </c>
      <c r="DC34" s="107">
        <v>13.9511</v>
      </c>
      <c r="DD34" s="163">
        <v>14.0611</v>
      </c>
      <c r="DE34" s="163">
        <v>14.1924</v>
      </c>
      <c r="DF34" s="109">
        <v>13.8373</v>
      </c>
      <c r="DG34" s="109">
        <v>13.6052</v>
      </c>
      <c r="DH34" s="109">
        <v>9.5689</v>
      </c>
      <c r="DI34" s="109">
        <v>9.9115</v>
      </c>
      <c r="DJ34" s="109">
        <v>9.3182</v>
      </c>
      <c r="DK34" s="109">
        <v>8.7248</v>
      </c>
      <c r="DL34" s="109">
        <v>151.2288</v>
      </c>
      <c r="DM34" s="410">
        <v>-0.292396205121103</v>
      </c>
      <c r="DN34" s="411"/>
      <c r="DO34" s="412">
        <v>23.5578</v>
      </c>
      <c r="DP34" s="87"/>
      <c r="DQ34" s="424">
        <v>25.1988</v>
      </c>
      <c r="DR34" s="304"/>
      <c r="DS34" s="424">
        <v>19.6029</v>
      </c>
      <c r="DT34" s="104" t="e">
        <f t="shared" si="50"/>
        <v>#DIV/0!</v>
      </c>
      <c r="DU34" s="103"/>
      <c r="DV34" s="424">
        <v>18.0871</v>
      </c>
      <c r="DW34" s="104" t="e">
        <f t="shared" si="51"/>
        <v>#DIV/0!</v>
      </c>
      <c r="DX34" s="424">
        <v>16.8053</v>
      </c>
      <c r="DY34" s="104" t="e">
        <f t="shared" si="52"/>
        <v>#DIV/0!</v>
      </c>
      <c r="DZ34" s="424">
        <v>17.0148</v>
      </c>
      <c r="EA34" s="104" t="e">
        <f t="shared" si="53"/>
        <v>#DIV/0!</v>
      </c>
      <c r="EB34" s="424">
        <v>17.0767</v>
      </c>
      <c r="EC34" s="104" t="e">
        <f t="shared" si="54"/>
        <v>#DIV/0!</v>
      </c>
      <c r="ED34" s="424">
        <v>16.4853</v>
      </c>
      <c r="EE34" s="104" t="e">
        <f t="shared" si="55"/>
        <v>#DIV/0!</v>
      </c>
      <c r="EF34" s="424">
        <v>15.7735</v>
      </c>
      <c r="EG34" s="104" t="e">
        <f t="shared" si="56"/>
        <v>#DIV/0!</v>
      </c>
      <c r="EH34" s="424">
        <v>15.498</v>
      </c>
      <c r="EI34" s="104" t="e">
        <f t="shared" si="57"/>
        <v>#DIV/0!</v>
      </c>
      <c r="EJ34" s="424">
        <v>14.3214</v>
      </c>
      <c r="EK34" s="104" t="e">
        <f t="shared" si="58"/>
        <v>#DIV/0!</v>
      </c>
      <c r="EL34" s="424">
        <v>14.298</v>
      </c>
      <c r="EM34" s="104" t="e">
        <f t="shared" si="59"/>
        <v>#DIV/0!</v>
      </c>
      <c r="EN34" s="93">
        <f t="shared" si="64"/>
        <v>213.7196</v>
      </c>
      <c r="EO34" s="104" t="e">
        <f t="shared" si="60"/>
        <v>#DIV/0!</v>
      </c>
      <c r="EP34" s="104"/>
      <c r="FN34" s="95">
        <v>0</v>
      </c>
      <c r="FO34" s="96"/>
      <c r="FP34" s="431"/>
      <c r="JL34" s="399">
        <v>0</v>
      </c>
      <c r="JM34" s="398"/>
      <c r="JN34" s="400"/>
      <c r="JO34" s="311"/>
      <c r="JP34" s="144"/>
      <c r="JQ34" s="144"/>
      <c r="JR34" s="144"/>
      <c r="JS34" s="144"/>
      <c r="JT34" s="144"/>
      <c r="JU34" s="144"/>
      <c r="JV34" s="144"/>
      <c r="JW34" s="144"/>
      <c r="JX34" s="144"/>
      <c r="JY34" s="144"/>
      <c r="JZ34" s="144"/>
      <c r="KA34" s="144"/>
    </row>
    <row r="35" ht="28.8" customHeight="1" spans="1:287">
      <c r="A35" s="28"/>
      <c r="B35" s="446" t="s">
        <v>212</v>
      </c>
      <c r="C35" s="163">
        <v>51.1698</v>
      </c>
      <c r="D35" s="402">
        <f t="shared" si="76"/>
        <v>-0.578402135045187</v>
      </c>
      <c r="E35" s="163">
        <v>53.2252</v>
      </c>
      <c r="F35" s="359">
        <f t="shared" si="77"/>
        <v>-0.557554852393455</v>
      </c>
      <c r="G35" s="163">
        <v>43.9387</v>
      </c>
      <c r="H35" s="359">
        <f t="shared" si="78"/>
        <v>-0.587270768343464</v>
      </c>
      <c r="I35" s="163">
        <v>41.1799</v>
      </c>
      <c r="J35" s="359">
        <f t="shared" si="79"/>
        <v>-0.571739078436001</v>
      </c>
      <c r="K35" s="163">
        <v>41.8882</v>
      </c>
      <c r="L35" s="359">
        <f t="shared" si="80"/>
        <v>-0.570038758735086</v>
      </c>
      <c r="M35" s="163">
        <v>49.6743</v>
      </c>
      <c r="N35" s="402">
        <f t="shared" si="81"/>
        <v>-0.458575392872169</v>
      </c>
      <c r="O35" s="163">
        <v>43.6433</v>
      </c>
      <c r="P35" s="402">
        <f t="shared" si="82"/>
        <v>-0.506495694602281</v>
      </c>
      <c r="Q35" s="127"/>
      <c r="R35" s="127"/>
      <c r="S35" s="109">
        <f t="shared" si="7"/>
        <v>324.7194</v>
      </c>
      <c r="T35" s="359">
        <f t="shared" si="8"/>
        <v>-0.597685950530361</v>
      </c>
      <c r="U35" s="359"/>
      <c r="V35" s="163">
        <v>121.371108</v>
      </c>
      <c r="W35" s="402">
        <f t="shared" si="83"/>
        <v>-0.288695846846836</v>
      </c>
      <c r="X35" s="163">
        <v>120.29785</v>
      </c>
      <c r="Y35" s="402">
        <f t="shared" si="84"/>
        <v>-0.254714187385425</v>
      </c>
      <c r="Z35" s="163">
        <v>106.4589</v>
      </c>
      <c r="AA35" s="402">
        <f t="shared" si="85"/>
        <v>-0.296120889147482</v>
      </c>
      <c r="AB35" s="163">
        <v>96.1561</v>
      </c>
      <c r="AC35" s="402">
        <f t="shared" si="86"/>
        <v>-0.333413979463659</v>
      </c>
      <c r="AD35" s="163">
        <v>97.4232</v>
      </c>
      <c r="AE35" s="402">
        <f t="shared" si="87"/>
        <v>-0.335741549085464</v>
      </c>
      <c r="AF35" s="163">
        <v>91.7474</v>
      </c>
      <c r="AG35" s="402">
        <f t="shared" si="88"/>
        <v>-0.379884016437764</v>
      </c>
      <c r="AH35" s="163">
        <v>88.4355</v>
      </c>
      <c r="AI35" s="402">
        <f t="shared" si="89"/>
        <v>-0.380410908517682</v>
      </c>
      <c r="AJ35" s="163">
        <v>85.2391</v>
      </c>
      <c r="AK35" s="402">
        <f t="shared" si="90"/>
        <v>-0.395567685930136</v>
      </c>
      <c r="AL35" s="163">
        <v>86.6438</v>
      </c>
      <c r="AM35" s="402">
        <f t="shared" si="91"/>
        <v>-0.397607081004528</v>
      </c>
      <c r="AN35" s="163">
        <v>88.9152</v>
      </c>
      <c r="AO35" s="402">
        <f t="shared" si="92"/>
        <v>-0.408648090705457</v>
      </c>
      <c r="AP35" s="163">
        <v>104.4257</v>
      </c>
      <c r="AQ35" s="402">
        <f t="shared" si="93"/>
        <v>-0.239816669105352</v>
      </c>
      <c r="AR35" s="163">
        <v>90.2429</v>
      </c>
      <c r="AS35" s="402">
        <f t="shared" si="94"/>
        <v>-0.3570015746685</v>
      </c>
      <c r="AT35" s="93">
        <f t="shared" si="21"/>
        <v>1177.356758</v>
      </c>
      <c r="AU35" s="402">
        <f t="shared" si="22"/>
        <v>-0.337753148009902</v>
      </c>
      <c r="AV35" s="360"/>
      <c r="AW35" s="93">
        <v>170.6318</v>
      </c>
      <c r="AX35" s="402">
        <v>-0.193699553593157</v>
      </c>
      <c r="AY35" s="163">
        <v>161.4117</v>
      </c>
      <c r="AZ35" s="402">
        <f t="shared" si="65"/>
        <v>-0.113918601501539</v>
      </c>
      <c r="BA35" s="93">
        <v>151.246</v>
      </c>
      <c r="BB35" s="402">
        <f t="shared" si="66"/>
        <v>-0.215265296634969</v>
      </c>
      <c r="BC35" s="93">
        <v>144.2516</v>
      </c>
      <c r="BD35" s="402">
        <f t="shared" si="67"/>
        <v>-0.213748055512859</v>
      </c>
      <c r="BE35" s="93">
        <v>146.6646</v>
      </c>
      <c r="BF35" s="402">
        <f t="shared" si="68"/>
        <v>-0.229618167120235</v>
      </c>
      <c r="BG35" s="93">
        <v>147.952</v>
      </c>
      <c r="BH35" s="402">
        <f t="shared" si="69"/>
        <v>-0.219110964969459</v>
      </c>
      <c r="BI35" s="93">
        <v>142.7325</v>
      </c>
      <c r="BJ35" s="402">
        <f t="shared" si="70"/>
        <v>-0.263627400856103</v>
      </c>
      <c r="BK35" s="93">
        <v>141.0234</v>
      </c>
      <c r="BL35" s="402">
        <f t="shared" si="71"/>
        <v>-0.262519401411544</v>
      </c>
      <c r="BM35" s="93">
        <v>143.8327</v>
      </c>
      <c r="BN35" s="402">
        <f t="shared" si="72"/>
        <v>-0.261895634833274</v>
      </c>
      <c r="BO35" s="93">
        <v>150.3592</v>
      </c>
      <c r="BP35" s="402">
        <f t="shared" si="73"/>
        <v>-0.250957853451785</v>
      </c>
      <c r="BQ35" s="93">
        <v>137.3691</v>
      </c>
      <c r="BR35" s="402">
        <f t="shared" si="74"/>
        <v>-0.181317564688375</v>
      </c>
      <c r="BS35" s="93">
        <v>140.347</v>
      </c>
      <c r="BT35" s="402">
        <f t="shared" si="75"/>
        <v>-0.155828845226166</v>
      </c>
      <c r="BU35" s="163">
        <f t="shared" si="34"/>
        <v>1777.8216</v>
      </c>
      <c r="BV35" s="402">
        <f t="shared" si="35"/>
        <v>-0.214930226829276</v>
      </c>
      <c r="BW35" s="429"/>
      <c r="BX35" s="93">
        <v>211.6231</v>
      </c>
      <c r="BY35" s="402">
        <f t="shared" si="36"/>
        <v>-0.172393902194364</v>
      </c>
      <c r="BZ35" s="93">
        <v>182.1635126</v>
      </c>
      <c r="CA35" s="402">
        <f t="shared" si="37"/>
        <v>-0.316528090431465</v>
      </c>
      <c r="CB35" s="163">
        <v>192.7352</v>
      </c>
      <c r="CC35" s="402">
        <f t="shared" si="38"/>
        <v>-0.218307171482305</v>
      </c>
      <c r="CD35" s="163">
        <v>183.4674</v>
      </c>
      <c r="CE35" s="402">
        <v>-0.230717882425258</v>
      </c>
      <c r="CF35" s="163">
        <v>190.3791</v>
      </c>
      <c r="CG35" s="402">
        <f t="shared" si="39"/>
        <v>-0.194350780262136</v>
      </c>
      <c r="CH35" s="163">
        <v>189.4661</v>
      </c>
      <c r="CI35" s="402">
        <f t="shared" si="40"/>
        <v>-0.228210982547115</v>
      </c>
      <c r="CJ35" s="163">
        <v>193.8319</v>
      </c>
      <c r="CK35" s="402">
        <f t="shared" si="41"/>
        <v>-0.180538151550972</v>
      </c>
      <c r="CL35" s="163">
        <v>191.2232</v>
      </c>
      <c r="CM35" s="402">
        <f t="shared" si="42"/>
        <v>-0.172764767515403</v>
      </c>
      <c r="CN35" s="163">
        <v>194.8677</v>
      </c>
      <c r="CO35" s="402">
        <f t="shared" si="43"/>
        <v>0.219561148066998</v>
      </c>
      <c r="CP35" s="163">
        <v>200.7353</v>
      </c>
      <c r="CQ35" s="402">
        <f t="shared" si="44"/>
        <v>0.231409719248696</v>
      </c>
      <c r="CR35" s="163">
        <v>167.7929</v>
      </c>
      <c r="CS35" s="402">
        <f t="shared" si="45"/>
        <v>0.156651579468359</v>
      </c>
      <c r="CT35" s="163">
        <v>166.2542</v>
      </c>
      <c r="CU35" s="402">
        <f t="shared" si="46"/>
        <v>0.199052033576936</v>
      </c>
      <c r="CV35" s="163">
        <f t="shared" si="47"/>
        <v>2264.5396126</v>
      </c>
      <c r="CW35" s="402">
        <f t="shared" si="48"/>
        <v>-0.116551205524671</v>
      </c>
      <c r="CX35" s="408">
        <f t="shared" si="49"/>
        <v>-0.00917023306707265</v>
      </c>
      <c r="CY35" s="408"/>
      <c r="CZ35" s="477">
        <v>255.7051</v>
      </c>
      <c r="DA35" s="473">
        <v>266.5267</v>
      </c>
      <c r="DB35" s="473">
        <v>246.5613</v>
      </c>
      <c r="DC35" s="473">
        <v>238.4917</v>
      </c>
      <c r="DD35" s="448">
        <v>236.3052</v>
      </c>
      <c r="DE35" s="448">
        <v>245.4895</v>
      </c>
      <c r="DF35" s="448">
        <v>236.5356</v>
      </c>
      <c r="DG35" s="448">
        <v>231.1594</v>
      </c>
      <c r="DH35" s="448">
        <v>159.7851</v>
      </c>
      <c r="DI35" s="448">
        <v>163.0126</v>
      </c>
      <c r="DJ35" s="448">
        <v>145.0678</v>
      </c>
      <c r="DK35" s="448">
        <v>138.6547</v>
      </c>
      <c r="DL35" s="448">
        <v>2563.2947</v>
      </c>
      <c r="DM35" s="449">
        <v>-0.316420841140387</v>
      </c>
      <c r="DN35" s="411"/>
      <c r="DO35" s="412">
        <v>321.3962</v>
      </c>
      <c r="DP35" s="87"/>
      <c r="DQ35" s="424">
        <v>488.0232</v>
      </c>
      <c r="DR35" s="304"/>
      <c r="DS35" s="424">
        <v>387.163</v>
      </c>
      <c r="DT35" s="104" t="e">
        <f t="shared" si="50"/>
        <v>#DIV/0!</v>
      </c>
      <c r="DU35" s="103"/>
      <c r="DV35" s="424">
        <v>342.5843</v>
      </c>
      <c r="DW35" s="104" t="e">
        <f t="shared" si="51"/>
        <v>#DIV/0!</v>
      </c>
      <c r="DX35" s="424">
        <v>292.2797</v>
      </c>
      <c r="DY35" s="104" t="e">
        <f t="shared" si="52"/>
        <v>#DIV/0!</v>
      </c>
      <c r="DZ35" s="424">
        <v>298.1928</v>
      </c>
      <c r="EA35" s="104" t="e">
        <f t="shared" si="53"/>
        <v>#DIV/0!</v>
      </c>
      <c r="EB35" s="424">
        <v>303.6275</v>
      </c>
      <c r="EC35" s="104" t="e">
        <f t="shared" si="54"/>
        <v>#DIV/0!</v>
      </c>
      <c r="ED35" s="424">
        <v>290.4718</v>
      </c>
      <c r="EE35" s="104" t="e">
        <f t="shared" si="55"/>
        <v>#DIV/0!</v>
      </c>
      <c r="EF35" s="424">
        <v>269.9398</v>
      </c>
      <c r="EG35" s="104" t="e">
        <f t="shared" si="56"/>
        <v>#DIV/0!</v>
      </c>
      <c r="EH35" s="424">
        <v>269.9841</v>
      </c>
      <c r="EI35" s="104" t="e">
        <f t="shared" si="57"/>
        <v>#DIV/0!</v>
      </c>
      <c r="EJ35" s="424">
        <v>241.7117</v>
      </c>
      <c r="EK35" s="104" t="e">
        <f t="shared" si="58"/>
        <v>#DIV/0!</v>
      </c>
      <c r="EL35" s="424">
        <v>244.4399</v>
      </c>
      <c r="EM35" s="104" t="e">
        <f t="shared" si="59"/>
        <v>#DIV/0!</v>
      </c>
      <c r="EN35" s="93">
        <f t="shared" si="64"/>
        <v>3749.814</v>
      </c>
      <c r="EO35" s="104" t="e">
        <f t="shared" si="60"/>
        <v>#DIV/0!</v>
      </c>
      <c r="EP35" s="104"/>
      <c r="FN35" s="95">
        <v>0</v>
      </c>
      <c r="FO35" s="96"/>
      <c r="FP35" s="431"/>
      <c r="JL35" s="399">
        <v>0</v>
      </c>
      <c r="JM35" s="398"/>
      <c r="JN35" s="400"/>
      <c r="JO35" s="311"/>
      <c r="JP35" s="144"/>
      <c r="JQ35" s="144"/>
      <c r="JR35" s="144"/>
      <c r="JS35" s="144"/>
      <c r="JT35" s="144"/>
      <c r="JU35" s="144"/>
      <c r="JV35" s="144"/>
      <c r="JW35" s="144"/>
      <c r="JX35" s="144"/>
      <c r="JY35" s="144"/>
      <c r="JZ35" s="144"/>
      <c r="KA35" s="144"/>
    </row>
    <row r="36" s="286" customFormat="1" ht="28.8" hidden="1" customHeight="1" spans="1:287">
      <c r="A36" s="298" t="s">
        <v>101</v>
      </c>
      <c r="B36" s="164" t="s">
        <v>206</v>
      </c>
      <c r="C36" s="109">
        <v>133.6683</v>
      </c>
      <c r="D36" s="359">
        <f t="shared" si="76"/>
        <v>-0.187403530678384</v>
      </c>
      <c r="E36" s="163">
        <v>143.6103</v>
      </c>
      <c r="F36" s="359">
        <f t="shared" si="77"/>
        <v>-0.168301470251826</v>
      </c>
      <c r="G36" s="163">
        <v>139.5382</v>
      </c>
      <c r="H36" s="359">
        <f t="shared" si="78"/>
        <v>-0.116878135964801</v>
      </c>
      <c r="I36" s="163">
        <v>141.171</v>
      </c>
      <c r="J36" s="359">
        <f t="shared" si="79"/>
        <v>-0.128995059795173</v>
      </c>
      <c r="K36" s="163">
        <v>140.9257</v>
      </c>
      <c r="L36" s="359">
        <f t="shared" si="80"/>
        <v>-0.138319975346627</v>
      </c>
      <c r="M36" s="163">
        <v>134.7257</v>
      </c>
      <c r="N36" s="359">
        <f t="shared" si="81"/>
        <v>-0.163781840210386</v>
      </c>
      <c r="O36" s="163">
        <v>137.6465</v>
      </c>
      <c r="P36" s="359">
        <f t="shared" si="82"/>
        <v>-0.176346018864639</v>
      </c>
      <c r="Q36" s="127"/>
      <c r="R36" s="127"/>
      <c r="S36" s="109">
        <f t="shared" ref="S36:S57" si="95">G36+E36+C36+I36+K36+M36+O36+Q36</f>
        <v>971.2857</v>
      </c>
      <c r="T36" s="359">
        <f t="shared" ref="T36:T57" si="96">S36/SUM(V36+X36+Z36+AB36+AD36+AF36+AH36+AJ36)-1</f>
        <v>-0.259640554885202</v>
      </c>
      <c r="U36" s="359"/>
      <c r="V36" s="109">
        <v>164.4953</v>
      </c>
      <c r="W36" s="359">
        <f t="shared" si="83"/>
        <v>0.045928044452894</v>
      </c>
      <c r="X36" s="109">
        <v>172.6711</v>
      </c>
      <c r="Y36" s="359">
        <f t="shared" si="84"/>
        <v>0.038111751263588</v>
      </c>
      <c r="Z36" s="109">
        <v>158.0056</v>
      </c>
      <c r="AA36" s="359">
        <f t="shared" si="85"/>
        <v>0.0111335941709572</v>
      </c>
      <c r="AB36" s="109">
        <v>162.0783</v>
      </c>
      <c r="AC36" s="359">
        <f t="shared" si="86"/>
        <v>0.0135506286606211</v>
      </c>
      <c r="AD36" s="163">
        <v>163.5476</v>
      </c>
      <c r="AE36" s="359">
        <f t="shared" si="87"/>
        <v>-0.0362233307502601</v>
      </c>
      <c r="AF36" s="163">
        <v>161.1131</v>
      </c>
      <c r="AG36" s="359">
        <f t="shared" si="88"/>
        <v>0.00408081102691482</v>
      </c>
      <c r="AH36" s="163">
        <v>167.1169</v>
      </c>
      <c r="AI36" s="359">
        <f t="shared" si="89"/>
        <v>0.00829663971309569</v>
      </c>
      <c r="AJ36" s="163">
        <v>162.8831</v>
      </c>
      <c r="AK36" s="359">
        <f t="shared" si="90"/>
        <v>0.0498894246666466</v>
      </c>
      <c r="AL36" s="163">
        <v>136.8044</v>
      </c>
      <c r="AM36" s="359">
        <f t="shared" si="91"/>
        <v>-0.0722313813067418</v>
      </c>
      <c r="AN36" s="163">
        <v>145.8738</v>
      </c>
      <c r="AO36" s="359">
        <f t="shared" si="92"/>
        <v>-0.0661584563688359</v>
      </c>
      <c r="AP36" s="163">
        <v>133.7493</v>
      </c>
      <c r="AQ36" s="359">
        <f t="shared" si="93"/>
        <v>-0.0632621759045258</v>
      </c>
      <c r="AR36" s="163">
        <v>132.9524</v>
      </c>
      <c r="AS36" s="359">
        <f t="shared" si="94"/>
        <v>-0.0789657446560887</v>
      </c>
      <c r="AT36" s="107">
        <f t="shared" ref="AT36:AT57" si="97">Z36+V36+X36+AB36+AD36+AF36+AH36+AJ36+AL36+AN36+AP36+AR36</f>
        <v>1861.2909</v>
      </c>
      <c r="AU36" s="359">
        <f t="shared" ref="AU36:AU57" si="98">AT36/(AW36+AY36+BA36+BC36+BE36+BG36+BI36+BK36+BM36+BO36+BQ36+BS36)-1</f>
        <v>-0.010801780618646</v>
      </c>
      <c r="AV36" s="360"/>
      <c r="AW36" s="450">
        <v>157.2721</v>
      </c>
      <c r="AX36" s="361">
        <v>-0.123270619059565</v>
      </c>
      <c r="AY36" s="108">
        <v>166.3319</v>
      </c>
      <c r="AZ36" s="361">
        <f t="shared" si="65"/>
        <v>-0.0394345358407582</v>
      </c>
      <c r="BA36" s="108">
        <v>156.2658</v>
      </c>
      <c r="BB36" s="361">
        <f t="shared" si="66"/>
        <v>-0.0530447366124669</v>
      </c>
      <c r="BC36" s="108">
        <v>159.9114</v>
      </c>
      <c r="BD36" s="361">
        <f t="shared" si="67"/>
        <v>-0.0489157877645405</v>
      </c>
      <c r="BE36" s="362">
        <v>169.6945</v>
      </c>
      <c r="BF36" s="361">
        <f t="shared" si="68"/>
        <v>-0.00949907746762091</v>
      </c>
      <c r="BG36" s="108">
        <v>160.4583</v>
      </c>
      <c r="BH36" s="361">
        <f t="shared" si="69"/>
        <v>-0.0500906940343216</v>
      </c>
      <c r="BI36" s="108">
        <v>165.7418</v>
      </c>
      <c r="BJ36" s="361">
        <f t="shared" si="70"/>
        <v>-0.0599820664629812</v>
      </c>
      <c r="BK36" s="108">
        <v>155.1431</v>
      </c>
      <c r="BL36" s="361">
        <f t="shared" si="71"/>
        <v>-0.112959091959044</v>
      </c>
      <c r="BM36" s="108">
        <v>147.4553</v>
      </c>
      <c r="BN36" s="361">
        <f t="shared" si="72"/>
        <v>-0.120775311757277</v>
      </c>
      <c r="BO36" s="108">
        <v>156.2083</v>
      </c>
      <c r="BP36" s="361">
        <f t="shared" si="73"/>
        <v>-0.059615522382309</v>
      </c>
      <c r="BQ36" s="108">
        <v>142.782</v>
      </c>
      <c r="BR36" s="361">
        <f t="shared" si="74"/>
        <v>-0.057118234977531</v>
      </c>
      <c r="BS36" s="108">
        <v>144.3512</v>
      </c>
      <c r="BT36" s="361">
        <f t="shared" si="75"/>
        <v>0.00082922189034873</v>
      </c>
      <c r="BU36" s="108">
        <f t="shared" ref="BU36:BU57" si="99">AW36+AY36+BA36+BC36+BE36+BG36+BI36+BK36+BM36+BO36+BQ36+BS36</f>
        <v>1881.6157</v>
      </c>
      <c r="BV36" s="361">
        <f t="shared" ref="BV36:BV57" si="100">BU36/CV36-1</f>
        <v>-0.0623072123252948</v>
      </c>
      <c r="BW36" s="364"/>
      <c r="BX36" s="450">
        <v>179.385</v>
      </c>
      <c r="BY36" s="361">
        <f t="shared" ref="BY36:BY57" si="101">BX36/CZ36-1</f>
        <v>-0.18660534409607</v>
      </c>
      <c r="BZ36" s="450">
        <v>173.1604</v>
      </c>
      <c r="CA36" s="361">
        <f t="shared" ref="CA36:CA57" si="102">BZ36/DA36-1</f>
        <v>-0.232823862684827</v>
      </c>
      <c r="CB36" s="108">
        <v>165.0192</v>
      </c>
      <c r="CC36" s="361">
        <f t="shared" ref="CC36:CC57" si="103">CB36/DB36-1</f>
        <v>-0.145546693287989</v>
      </c>
      <c r="CD36" s="108">
        <v>168.1359</v>
      </c>
      <c r="CE36" s="361">
        <v>-0.0634198431270753</v>
      </c>
      <c r="CF36" s="108">
        <v>171.3219</v>
      </c>
      <c r="CG36" s="361">
        <f t="shared" ref="CG36:CG57" si="104">CF36/DD36-1</f>
        <v>-0.0995441532250647</v>
      </c>
      <c r="CH36" s="108">
        <v>168.9196</v>
      </c>
      <c r="CI36" s="361">
        <f t="shared" ref="CI36:CI57" si="105">CH36/DE36-1</f>
        <v>-0.133120153875129</v>
      </c>
      <c r="CJ36" s="108">
        <v>176.3177</v>
      </c>
      <c r="CK36" s="361">
        <f t="shared" ref="CK36:CK57" si="106">CJ36/DF36-1</f>
        <v>-0.11192947322507</v>
      </c>
      <c r="CL36" s="108">
        <v>174.8996</v>
      </c>
      <c r="CM36" s="361">
        <f t="shared" ref="CM36:CM57" si="107">CL36/DG36-1</f>
        <v>-0.0779801762648675</v>
      </c>
      <c r="CN36" s="108">
        <v>167.7106</v>
      </c>
      <c r="CO36" s="361">
        <f t="shared" ref="CO36:CO57" si="108">CN36/DH36-1</f>
        <v>-0.0930821738911778</v>
      </c>
      <c r="CP36" s="108">
        <v>166.1111</v>
      </c>
      <c r="CQ36" s="361">
        <f t="shared" ref="CQ36:CQ57" si="109">CP36/DI36-1</f>
        <v>0.262610822610853</v>
      </c>
      <c r="CR36" s="108">
        <v>151.4315</v>
      </c>
      <c r="CS36" s="361">
        <f t="shared" ref="CS36:CS57" si="110">CR36/DJ36-1</f>
        <v>0.117781053492487</v>
      </c>
      <c r="CT36" s="108">
        <v>144.2316</v>
      </c>
      <c r="CU36" s="361">
        <f t="shared" ref="CU36:CU57" si="111">CT36/DK36-1</f>
        <v>0.262792383580642</v>
      </c>
      <c r="CV36" s="108">
        <f t="shared" ref="CV36:CV57" si="112">BX36+BZ36+CB36+CD36+CF36+CH36+CJ36+CL36+CN36+CP36+CR36+CT36</f>
        <v>2006.6441</v>
      </c>
      <c r="CW36" s="361">
        <f t="shared" ref="CW36:CW57" si="113">CV36/SUM(CZ36:DK36)-1</f>
        <v>-0.0703219332208748</v>
      </c>
      <c r="CX36" s="365">
        <f t="shared" ref="CX36:CX57" si="114">CT36/CR36-1</f>
        <v>-0.047545589920195</v>
      </c>
      <c r="CY36" s="365"/>
      <c r="CZ36" s="453">
        <v>220.5387</v>
      </c>
      <c r="DA36" s="450">
        <v>225.7114</v>
      </c>
      <c r="DB36" s="450">
        <v>193.1284</v>
      </c>
      <c r="DC36" s="450">
        <v>179.5211</v>
      </c>
      <c r="DD36" s="108">
        <v>190.2613</v>
      </c>
      <c r="DE36" s="108">
        <v>194.8593</v>
      </c>
      <c r="DF36" s="108">
        <v>198.5402</v>
      </c>
      <c r="DG36" s="108">
        <v>189.6918</v>
      </c>
      <c r="DH36" s="108">
        <v>184.9237</v>
      </c>
      <c r="DI36" s="108">
        <v>131.5616</v>
      </c>
      <c r="DJ36" s="108">
        <v>135.4751</v>
      </c>
      <c r="DK36" s="108">
        <v>114.2164</v>
      </c>
      <c r="DL36" s="108">
        <v>2158.429</v>
      </c>
      <c r="DM36" s="368">
        <v>-0.210098208314988</v>
      </c>
      <c r="DN36" s="369"/>
      <c r="DO36" s="370">
        <v>246.82</v>
      </c>
      <c r="DP36" s="371">
        <f>(DO36-DX36)/DX36</f>
        <v>-0.0330946299575349</v>
      </c>
      <c r="DQ36" s="374">
        <v>261.5492</v>
      </c>
      <c r="DR36" s="373"/>
      <c r="DS36" s="374">
        <v>241.2143</v>
      </c>
      <c r="DT36" s="373">
        <f t="shared" ref="DT36:DT57" si="115">(DS36-ET36)/ET36</f>
        <v>9.23521349678153</v>
      </c>
      <c r="DU36" s="374"/>
      <c r="DV36" s="374">
        <v>245.6004</v>
      </c>
      <c r="DW36" s="373">
        <f t="shared" ref="DW36:DW57" si="116">(DV36-EV36)/EV36</f>
        <v>1.53312237766565</v>
      </c>
      <c r="DX36" s="374">
        <v>255.268</v>
      </c>
      <c r="DY36" s="373">
        <f t="shared" ref="DY36:DY57" si="117">(DX36-EX36)/EX36</f>
        <v>1.75378328579504</v>
      </c>
      <c r="DZ36" s="374">
        <v>252.9692</v>
      </c>
      <c r="EA36" s="373">
        <f t="shared" ref="EA36:EA57" si="118">(DZ36-EZ36)/EZ36</f>
        <v>0.899453371377084</v>
      </c>
      <c r="EB36" s="374">
        <v>256.3831</v>
      </c>
      <c r="EC36" s="373">
        <f t="shared" ref="EC36:EC57" si="119">(EB36-FB36)/FB36</f>
        <v>0.484471657692085</v>
      </c>
      <c r="ED36" s="374">
        <v>138.2668</v>
      </c>
      <c r="EE36" s="373">
        <f t="shared" ref="EE36:EE57" si="120">(ED36-FD36)/FD36</f>
        <v>-0.528903577512777</v>
      </c>
      <c r="EF36" s="374">
        <v>215.1248</v>
      </c>
      <c r="EG36" s="373">
        <f t="shared" ref="EG36:EG57" si="121">(EF36-FF36)/FF36</f>
        <v>-0.247815384615385</v>
      </c>
      <c r="EH36" s="374">
        <v>210.5634</v>
      </c>
      <c r="EI36" s="373">
        <f t="shared" ref="EI36:EI57" si="122">(EH36-FH36)/FH36</f>
        <v>-0.270472923812493</v>
      </c>
      <c r="EJ36" s="374">
        <v>206.5183</v>
      </c>
      <c r="EK36" s="373">
        <f t="shared" ref="EK36:EK57" si="123">(EJ36-FJ36)/FJ36</f>
        <v>-0.196051463718468</v>
      </c>
      <c r="EL36" s="374">
        <v>202.2508</v>
      </c>
      <c r="EM36" s="373">
        <f t="shared" ref="EM36:EM57" si="124">(EL36-FL36)/FL36</f>
        <v>-0.213338000777908</v>
      </c>
      <c r="EN36" s="372">
        <f t="shared" si="64"/>
        <v>2732.5283</v>
      </c>
      <c r="EO36" s="373">
        <v>0.181777001400256</v>
      </c>
      <c r="EP36" s="375">
        <v>411</v>
      </c>
      <c r="EQ36" s="373">
        <f>(EP36-FP36)/FP36</f>
        <v>0.0166221430691601</v>
      </c>
      <c r="ER36" s="374">
        <v>0</v>
      </c>
      <c r="ES36" s="373">
        <f>(ER36-FQ36)/FQ36</f>
        <v>-1</v>
      </c>
      <c r="ET36" s="374">
        <v>23.5671</v>
      </c>
      <c r="EU36" s="373">
        <f>(ET36-FR36)/FR36</f>
        <v>-0.955784052532833</v>
      </c>
      <c r="EV36" s="374">
        <v>96.9556</v>
      </c>
      <c r="EW36" s="373">
        <f>(EV36-FS36)/FS36</f>
        <v>-0.784063251670379</v>
      </c>
      <c r="EX36" s="374">
        <v>92.6972</v>
      </c>
      <c r="EY36" s="373">
        <f>(EX36-FT36)/FT36</f>
        <v>-0.798045315904139</v>
      </c>
      <c r="EZ36" s="374">
        <v>133.18</v>
      </c>
      <c r="FA36" s="373">
        <f>(EZ36-FU36)/FU36</f>
        <v>-0.69868778280543</v>
      </c>
      <c r="FB36" s="374">
        <v>172.71</v>
      </c>
      <c r="FC36" s="373">
        <f>(FB36-FV36)/FV36</f>
        <v>-0.6364</v>
      </c>
      <c r="FD36" s="374">
        <v>293.5</v>
      </c>
      <c r="FE36" s="373">
        <f>(FD36-FW36)/FW36</f>
        <v>-0.374200426439232</v>
      </c>
      <c r="FF36" s="374">
        <v>286</v>
      </c>
      <c r="FG36" s="373">
        <f>(FF36-FX36)/FX36</f>
        <v>-0.371428571428571</v>
      </c>
      <c r="FH36" s="374">
        <v>288.63</v>
      </c>
      <c r="FI36" s="373">
        <f>(FH36-FY36)/FY36</f>
        <v>-0.367039473684211</v>
      </c>
      <c r="FJ36" s="374">
        <v>256.88</v>
      </c>
      <c r="FK36" s="373">
        <f>(FJ36-GA36)/GA36</f>
        <v>-0.359401496259352</v>
      </c>
      <c r="FL36" s="374">
        <v>257.1</v>
      </c>
      <c r="FM36" s="456">
        <f>(FL36-GC36)/GC36</f>
        <v>-0.447631324524653</v>
      </c>
      <c r="FN36" s="359">
        <v>2312.2199</v>
      </c>
      <c r="FO36" s="358">
        <v>-0.586418964965219</v>
      </c>
      <c r="FP36" s="360">
        <v>404.28</v>
      </c>
      <c r="FQ36" s="360">
        <v>582</v>
      </c>
      <c r="FR36" s="554">
        <v>533</v>
      </c>
      <c r="FS36" s="554">
        <v>449</v>
      </c>
      <c r="FT36" s="554">
        <v>459</v>
      </c>
      <c r="FU36" s="554">
        <v>442</v>
      </c>
      <c r="FV36" s="582">
        <v>475</v>
      </c>
      <c r="FW36" s="459">
        <v>469</v>
      </c>
      <c r="FX36" s="459">
        <v>455</v>
      </c>
      <c r="FY36" s="459">
        <v>456</v>
      </c>
      <c r="FZ36" s="368">
        <f>(FY36-HA36)/HA36</f>
        <v>-0.093259097236031</v>
      </c>
      <c r="GA36" s="459">
        <v>401</v>
      </c>
      <c r="GB36" s="368">
        <f>(GA36-HC36)/HC36</f>
        <v>-0.0967654743670601</v>
      </c>
      <c r="GC36" s="459">
        <v>465.45</v>
      </c>
      <c r="GD36" s="368">
        <f>(GC36-HE36)/HE36</f>
        <v>-0.108930793529243</v>
      </c>
      <c r="GE36" s="455">
        <f>FP36+FQ36+FR36+FS36+FT36+FU36+FV36+FW36+FX36+FY36+GA36+GC36</f>
        <v>5590.73</v>
      </c>
      <c r="GF36" s="460">
        <f>(GE36-HG36)/HG36</f>
        <v>-0.10605103638169</v>
      </c>
      <c r="GG36" s="317"/>
      <c r="GH36" s="378"/>
      <c r="GI36" s="379">
        <v>438.16</v>
      </c>
      <c r="GJ36" s="376">
        <f>(GI36-HL36)/HL36</f>
        <v>-0.215736812901609</v>
      </c>
      <c r="GK36" s="375">
        <v>706.2</v>
      </c>
      <c r="GL36" s="376">
        <f>(GK36-HN36)/HN36</f>
        <v>0.00949168048487635</v>
      </c>
      <c r="GM36" s="375">
        <v>577</v>
      </c>
      <c r="GN36" s="376">
        <f>(GM36-HP36)/HP36</f>
        <v>0.0120676348838841</v>
      </c>
      <c r="GO36" s="375">
        <v>497.71</v>
      </c>
      <c r="GP36" s="376">
        <f>(GO36-HR36)/HR36</f>
        <v>0.0275409294547556</v>
      </c>
      <c r="GQ36" s="375">
        <v>508.08</v>
      </c>
      <c r="GR36" s="376">
        <f>(GQ36-HT36)/HT36</f>
        <v>0.00733573892699946</v>
      </c>
      <c r="GS36" s="375">
        <v>493.48</v>
      </c>
      <c r="GT36" s="376">
        <f>(GS36-HW36)/HW36</f>
        <v>-0.00981198707787384</v>
      </c>
      <c r="GU36" s="375">
        <v>532.17</v>
      </c>
      <c r="GV36" s="376">
        <f>(GU36-HY36)/HY36</f>
        <v>-0.00840351792502048</v>
      </c>
      <c r="GW36" s="375">
        <v>530.08</v>
      </c>
      <c r="GX36" s="376">
        <f>(GW36-IA36)/IA36</f>
        <v>0.00262913994968694</v>
      </c>
      <c r="GY36" s="375">
        <v>501.88</v>
      </c>
      <c r="GZ36" s="376">
        <f>(GY36-IC36)/IC36</f>
        <v>0.014329311425049</v>
      </c>
      <c r="HA36" s="375">
        <v>502.9</v>
      </c>
      <c r="HB36" s="376">
        <f>(HA36-IE36)/IE36</f>
        <v>0.0209923664122137</v>
      </c>
      <c r="HC36" s="375">
        <v>443.96</v>
      </c>
      <c r="HD36" s="376">
        <f>(HC36-IG36)/IG36</f>
        <v>0.0180934253674868</v>
      </c>
      <c r="HE36" s="375">
        <v>522.35</v>
      </c>
      <c r="HF36" s="376">
        <f>(HE36-II36)/II36</f>
        <v>0.00434540175738813</v>
      </c>
      <c r="HG36" s="375">
        <f>GI36+GK36+GM36+GO36+GQ36+GS36+GU36+GW36+GY36+HA36+HC36+HE36</f>
        <v>6253.97</v>
      </c>
      <c r="HH36" s="375">
        <f>HE36+HC36+HA36+GY36+GW36+GU36+GS36+GQ36+GO36+GM36+GK36+GI36</f>
        <v>6253.97</v>
      </c>
      <c r="HI36" s="377"/>
      <c r="HJ36" s="583"/>
      <c r="HK36" s="485"/>
      <c r="HL36" s="379">
        <v>558.69</v>
      </c>
      <c r="HM36" s="380">
        <f>(HL36-IN36)/IN36</f>
        <v>0.0313071087072897</v>
      </c>
      <c r="HN36" s="462">
        <v>699.56</v>
      </c>
      <c r="HO36" s="380">
        <f>(HN36-IP36)/IP36</f>
        <v>-0.0947605429676885</v>
      </c>
      <c r="HP36" s="462">
        <v>570.12</v>
      </c>
      <c r="HQ36" s="466">
        <f>(HP36-IR36)/IR36</f>
        <v>-0.0770575665349997</v>
      </c>
      <c r="HR36" s="464">
        <v>484.37</v>
      </c>
      <c r="HS36" s="465">
        <f>(HR36-IT36)/IT36</f>
        <v>-0.00888052219107441</v>
      </c>
      <c r="HT36" s="464">
        <v>504.38</v>
      </c>
      <c r="HU36" s="465">
        <f>(HT36-IV36)/IV36</f>
        <v>-0.000792424422520657</v>
      </c>
      <c r="HV36" s="466"/>
      <c r="HW36" s="464">
        <v>498.37</v>
      </c>
      <c r="HX36" s="465">
        <f>(HW36-IX36)/IX36</f>
        <v>-0.00869236583522299</v>
      </c>
      <c r="HY36" s="464">
        <v>536.68</v>
      </c>
      <c r="HZ36" s="465">
        <f>(HY36-IZ36)/IZ36</f>
        <v>0.0265493496557001</v>
      </c>
      <c r="IA36" s="464">
        <v>528.69</v>
      </c>
      <c r="IB36" s="390">
        <f>(IA36-JB36)/JB36</f>
        <v>0.00292136962913796</v>
      </c>
      <c r="IC36" s="464">
        <v>494.79</v>
      </c>
      <c r="ID36" s="390">
        <f>(IC36-JD36)/JD36</f>
        <v>0.00426231504597216</v>
      </c>
      <c r="IE36" s="464">
        <v>492.56</v>
      </c>
      <c r="IF36" s="390">
        <f>(IE36-JF36)/JF36</f>
        <v>-0.000811424862057727</v>
      </c>
      <c r="IG36" s="559">
        <v>436.07</v>
      </c>
      <c r="IH36" s="377">
        <f>(IG36-JH36)/JH36</f>
        <v>0.00430677107323815</v>
      </c>
      <c r="II36" s="559">
        <v>520.09</v>
      </c>
      <c r="IJ36" s="309">
        <f>(II36-JJ36)/JJ36</f>
        <v>0.0287811053526922</v>
      </c>
      <c r="IK36" s="391">
        <f>HL36+HN36+HP36+HR36+HT36+HW36+HY36+IA36+IC36+IE36+IG36+II36</f>
        <v>6324.37</v>
      </c>
      <c r="IL36" s="104">
        <f>IK36/JL36-1</f>
        <v>-0.0124051150799289</v>
      </c>
      <c r="IM36" s="392"/>
      <c r="IN36" s="467">
        <v>541.73</v>
      </c>
      <c r="IO36" s="413">
        <f>IN36/JP36-1</f>
        <v>-0.026932384413582</v>
      </c>
      <c r="IP36" s="414">
        <v>772.79</v>
      </c>
      <c r="IQ36" s="413">
        <f>IP36/JQ36-1</f>
        <v>0.0127648354387462</v>
      </c>
      <c r="IR36" s="414">
        <v>617.72</v>
      </c>
      <c r="IS36" s="394">
        <f>(IR36-JR36)/JR36</f>
        <v>0.00774682983987265</v>
      </c>
      <c r="IT36" s="513">
        <v>488.71</v>
      </c>
      <c r="IU36" s="413">
        <f>(IT36-JS36)/JS36</f>
        <v>0.0162647749329132</v>
      </c>
      <c r="IV36" s="513">
        <v>504.78</v>
      </c>
      <c r="IW36" s="413">
        <f>(IV36-JT36)/JT36</f>
        <v>0.0572571422168193</v>
      </c>
      <c r="IX36" s="513">
        <v>502.74</v>
      </c>
      <c r="IY36" s="413">
        <f>(IX36-JU36)/JU36</f>
        <v>-0.0212695429768708</v>
      </c>
      <c r="IZ36" s="513">
        <v>522.8</v>
      </c>
      <c r="JA36" s="413">
        <f>(IZ36-JV36)/JV36</f>
        <v>0.0229244049884683</v>
      </c>
      <c r="JB36" s="414">
        <v>527.15</v>
      </c>
      <c r="JC36" s="413">
        <f>(JB36-JW36)/JW36</f>
        <v>0.0699715120990141</v>
      </c>
      <c r="JD36" s="414">
        <v>492.69</v>
      </c>
      <c r="JE36" s="469">
        <f>(JD36-JX36)/JX36</f>
        <v>-0.0040911797208957</v>
      </c>
      <c r="JF36" s="414">
        <v>492.96</v>
      </c>
      <c r="JG36" s="471">
        <f>(JF36-JY36)/JY36</f>
        <v>-0.0281867325694471</v>
      </c>
      <c r="JH36" s="375">
        <v>434.2</v>
      </c>
      <c r="JI36" s="377">
        <f>(JH36-JZ36)/JZ36</f>
        <v>-0.0502637935918492</v>
      </c>
      <c r="JJ36" s="472">
        <v>505.54</v>
      </c>
      <c r="JK36" s="380">
        <f>(JJ36-KA36)/KA36</f>
        <v>-0.0744703568927996</v>
      </c>
      <c r="JL36" s="399">
        <f t="shared" ref="JL36:JL57" si="126">JJ36+JH36+JF36+JD36+JB36+IZ36+IX36+IV36+IT36+IR36+IP36+IN36</f>
        <v>6403.81</v>
      </c>
      <c r="JM36" s="398">
        <f>JL36/JO36-1</f>
        <v>-0.00156860298837069</v>
      </c>
      <c r="JN36" s="400"/>
      <c r="JO36" s="528">
        <v>6413.87081693046</v>
      </c>
      <c r="JP36" s="388">
        <v>556.723902144793</v>
      </c>
      <c r="JQ36" s="388">
        <v>763.049794936072</v>
      </c>
      <c r="JR36" s="388">
        <v>612.971414753201</v>
      </c>
      <c r="JS36" s="388">
        <v>480.888457471392</v>
      </c>
      <c r="JT36" s="388">
        <v>477.442979426552</v>
      </c>
      <c r="JU36" s="388">
        <v>513.665428916063</v>
      </c>
      <c r="JV36" s="388">
        <v>511.083710047854</v>
      </c>
      <c r="JW36" s="388">
        <v>492.676668527244</v>
      </c>
      <c r="JX36" s="388">
        <v>494.713963736081</v>
      </c>
      <c r="JY36" s="388">
        <v>507.257944011582</v>
      </c>
      <c r="JZ36" s="388">
        <v>457.179580045832</v>
      </c>
      <c r="KA36" s="388">
        <v>546.216972913795</v>
      </c>
    </row>
    <row r="37" ht="28.8" hidden="1" customHeight="1" spans="1:287">
      <c r="A37" s="28"/>
      <c r="B37" s="141" t="s">
        <v>209</v>
      </c>
      <c r="C37" s="163">
        <v>8460.3268</v>
      </c>
      <c r="D37" s="359">
        <f t="shared" si="76"/>
        <v>-0.216620297348893</v>
      </c>
      <c r="E37" s="163">
        <v>10893.6835</v>
      </c>
      <c r="F37" s="359">
        <f t="shared" si="77"/>
        <v>-0.171772853618809</v>
      </c>
      <c r="G37" s="163">
        <v>10915.655</v>
      </c>
      <c r="H37" s="359">
        <f t="shared" si="78"/>
        <v>0.00317419641194538</v>
      </c>
      <c r="I37" s="163">
        <v>9181.1169</v>
      </c>
      <c r="J37" s="359">
        <f t="shared" si="79"/>
        <v>-0.173222011404474</v>
      </c>
      <c r="K37" s="163">
        <v>9903.441</v>
      </c>
      <c r="L37" s="359">
        <f t="shared" si="80"/>
        <v>-0.0910160450689843</v>
      </c>
      <c r="M37" s="163">
        <v>9184.0432</v>
      </c>
      <c r="N37" s="359">
        <f t="shared" si="81"/>
        <v>-0.101314713439389</v>
      </c>
      <c r="O37" s="163">
        <v>9351.8498</v>
      </c>
      <c r="P37" s="359">
        <f t="shared" si="82"/>
        <v>-0.135192780711597</v>
      </c>
      <c r="Q37" s="127"/>
      <c r="R37" s="127"/>
      <c r="S37" s="109">
        <f t="shared" si="95"/>
        <v>67890.1162</v>
      </c>
      <c r="T37" s="359">
        <f t="shared" si="96"/>
        <v>-0.226949077463628</v>
      </c>
      <c r="U37" s="359"/>
      <c r="V37" s="163">
        <v>10799.7779</v>
      </c>
      <c r="W37" s="474">
        <f t="shared" si="83"/>
        <v>0.142506943675852</v>
      </c>
      <c r="X37" s="473">
        <v>13153.0143</v>
      </c>
      <c r="Y37" s="475">
        <f t="shared" si="84"/>
        <v>-0.029851774375794</v>
      </c>
      <c r="Z37" s="473">
        <v>10881.1162</v>
      </c>
      <c r="AA37" s="475">
        <f t="shared" si="85"/>
        <v>0.0592041177943108</v>
      </c>
      <c r="AB37" s="473">
        <v>11104.6944</v>
      </c>
      <c r="AC37" s="475">
        <f t="shared" si="86"/>
        <v>-0.0125135450766491</v>
      </c>
      <c r="AD37" s="163">
        <v>10895.0669</v>
      </c>
      <c r="AE37" s="475">
        <f t="shared" si="87"/>
        <v>-0.0770680780308525</v>
      </c>
      <c r="AF37" s="163">
        <v>10219.4209</v>
      </c>
      <c r="AG37" s="475">
        <f t="shared" si="88"/>
        <v>-0.0289627602934664</v>
      </c>
      <c r="AH37" s="163">
        <v>10813.7971</v>
      </c>
      <c r="AI37" s="475">
        <f t="shared" si="89"/>
        <v>-0.00921554942140501</v>
      </c>
      <c r="AJ37" s="163">
        <v>9954.1267</v>
      </c>
      <c r="AK37" s="475">
        <f t="shared" si="90"/>
        <v>-0.0416789267271775</v>
      </c>
      <c r="AL37" s="163">
        <v>9722.3011</v>
      </c>
      <c r="AM37" s="475">
        <f t="shared" si="91"/>
        <v>-0.0138498380819374</v>
      </c>
      <c r="AN37" s="163">
        <v>10569.0524</v>
      </c>
      <c r="AO37" s="475">
        <f t="shared" si="92"/>
        <v>-0.0145912863039589</v>
      </c>
      <c r="AP37" s="163">
        <v>9485.8706</v>
      </c>
      <c r="AQ37" s="475">
        <f t="shared" si="93"/>
        <v>0.0386798892734175</v>
      </c>
      <c r="AR37" s="163">
        <v>8968.5755</v>
      </c>
      <c r="AS37" s="475">
        <f t="shared" si="94"/>
        <v>-0.0115738618178997</v>
      </c>
      <c r="AT37" s="107">
        <f t="shared" si="97"/>
        <v>126566.814</v>
      </c>
      <c r="AU37" s="359">
        <f t="shared" si="98"/>
        <v>-0.00301748131821244</v>
      </c>
      <c r="AV37" s="360"/>
      <c r="AW37" s="473">
        <v>9452.7022</v>
      </c>
      <c r="AX37" s="474">
        <v>0.0205900515711666</v>
      </c>
      <c r="AY37" s="448">
        <v>13557.7368</v>
      </c>
      <c r="AZ37" s="475">
        <f t="shared" si="65"/>
        <v>0.275535194682456</v>
      </c>
      <c r="BA37" s="448">
        <v>10272.9172</v>
      </c>
      <c r="BB37" s="475">
        <f t="shared" si="66"/>
        <v>0.0855021184632707</v>
      </c>
      <c r="BC37" s="448">
        <v>11245.4144</v>
      </c>
      <c r="BD37" s="475">
        <f t="shared" si="67"/>
        <v>0.132481437228626</v>
      </c>
      <c r="BE37" s="476">
        <v>11804.8435</v>
      </c>
      <c r="BF37" s="475">
        <f t="shared" si="68"/>
        <v>0.110446365660754</v>
      </c>
      <c r="BG37" s="163">
        <v>10524.2317</v>
      </c>
      <c r="BH37" s="475">
        <f t="shared" si="69"/>
        <v>0.0882794869344656</v>
      </c>
      <c r="BI37" s="163">
        <v>10914.3791</v>
      </c>
      <c r="BJ37" s="475">
        <f t="shared" si="70"/>
        <v>0.0500562637047834</v>
      </c>
      <c r="BK37" s="163">
        <v>10387.0477</v>
      </c>
      <c r="BL37" s="475">
        <f t="shared" si="71"/>
        <v>0.0289284882828593</v>
      </c>
      <c r="BM37" s="163">
        <v>9858.8445</v>
      </c>
      <c r="BN37" s="475">
        <f t="shared" si="72"/>
        <v>0.0153514518529203</v>
      </c>
      <c r="BO37" s="163">
        <v>10725.552</v>
      </c>
      <c r="BP37" s="475">
        <f t="shared" si="73"/>
        <v>0.00805008513284977</v>
      </c>
      <c r="BQ37" s="163">
        <v>9132.6218</v>
      </c>
      <c r="BR37" s="475">
        <f t="shared" si="74"/>
        <v>-0.0339613510994489</v>
      </c>
      <c r="BS37" s="163">
        <v>9073.592</v>
      </c>
      <c r="BT37" s="475">
        <f t="shared" si="75"/>
        <v>0.0699608383092072</v>
      </c>
      <c r="BU37" s="109">
        <f t="shared" si="99"/>
        <v>126949.8829</v>
      </c>
      <c r="BV37" s="359">
        <f t="shared" si="100"/>
        <v>0.0725859349039721</v>
      </c>
      <c r="BW37" s="429"/>
      <c r="BX37" s="473">
        <v>9261.9972</v>
      </c>
      <c r="BY37" s="475">
        <f t="shared" si="101"/>
        <v>-0.176957636223038</v>
      </c>
      <c r="BZ37" s="473">
        <v>10629.0574</v>
      </c>
      <c r="CA37" s="475">
        <f t="shared" si="102"/>
        <v>-0.203727088473826</v>
      </c>
      <c r="CB37" s="448">
        <v>9463.7468</v>
      </c>
      <c r="CC37" s="359">
        <f t="shared" si="103"/>
        <v>-0.00114743408713358</v>
      </c>
      <c r="CD37" s="109">
        <v>9929.8885</v>
      </c>
      <c r="CE37" s="359">
        <v>0.153732182523875</v>
      </c>
      <c r="CF37" s="163">
        <v>10630.7192</v>
      </c>
      <c r="CG37" s="359">
        <f t="shared" si="104"/>
        <v>0.151170541037374</v>
      </c>
      <c r="CH37" s="163">
        <v>9670.5229</v>
      </c>
      <c r="CI37" s="359">
        <f t="shared" si="105"/>
        <v>0.00477634664517956</v>
      </c>
      <c r="CJ37" s="163">
        <v>10394.0898</v>
      </c>
      <c r="CK37" s="359">
        <f t="shared" si="106"/>
        <v>-0.0290638636740471</v>
      </c>
      <c r="CL37" s="109">
        <v>10095.0142</v>
      </c>
      <c r="CM37" s="359">
        <f t="shared" si="107"/>
        <v>0.00205317876331579</v>
      </c>
      <c r="CN37" s="109">
        <v>9709.7852</v>
      </c>
      <c r="CO37" s="359">
        <f t="shared" si="108"/>
        <v>0.0331916268851602</v>
      </c>
      <c r="CP37" s="109">
        <v>10639.8999</v>
      </c>
      <c r="CQ37" s="359">
        <f t="shared" si="109"/>
        <v>0.634203648142077</v>
      </c>
      <c r="CR37" s="109">
        <v>9453.6816</v>
      </c>
      <c r="CS37" s="359">
        <f t="shared" si="110"/>
        <v>0.527413273884893</v>
      </c>
      <c r="CT37" s="109">
        <v>8480.3029</v>
      </c>
      <c r="CU37" s="359">
        <f t="shared" si="111"/>
        <v>0.58968773780612</v>
      </c>
      <c r="CV37" s="109">
        <f t="shared" si="112"/>
        <v>118358.7056</v>
      </c>
      <c r="CW37" s="359">
        <f t="shared" si="113"/>
        <v>0.0783941988099028</v>
      </c>
      <c r="CX37" s="408">
        <f t="shared" si="114"/>
        <v>-0.102962923989316</v>
      </c>
      <c r="CY37" s="408"/>
      <c r="CZ37" s="477">
        <v>11253.3663</v>
      </c>
      <c r="DA37" s="473">
        <v>13348.5106</v>
      </c>
      <c r="DB37" s="473">
        <v>9474.6183</v>
      </c>
      <c r="DC37" s="473">
        <v>8606.7535</v>
      </c>
      <c r="DD37" s="448">
        <v>9234.704</v>
      </c>
      <c r="DE37" s="448">
        <v>9624.5527</v>
      </c>
      <c r="DF37" s="448">
        <v>10705.225</v>
      </c>
      <c r="DG37" s="448">
        <v>10074.3298</v>
      </c>
      <c r="DH37" s="448">
        <v>9397.8551</v>
      </c>
      <c r="DI37" s="448">
        <v>6510.7552</v>
      </c>
      <c r="DJ37" s="448">
        <v>6189.341</v>
      </c>
      <c r="DK37" s="448">
        <v>5334.5715</v>
      </c>
      <c r="DL37" s="448">
        <v>109754.583</v>
      </c>
      <c r="DM37" s="449">
        <v>-0.210768786901009</v>
      </c>
      <c r="DN37" s="411"/>
      <c r="DO37" s="412">
        <v>11862.69</v>
      </c>
      <c r="DP37" s="87">
        <f>(DO37-DX37)/DX37</f>
        <v>-0.163082264503323</v>
      </c>
      <c r="DQ37" s="103">
        <v>13066.6868</v>
      </c>
      <c r="DR37" s="104"/>
      <c r="DS37" s="103">
        <v>13069.8031</v>
      </c>
      <c r="DT37" s="104">
        <f t="shared" si="115"/>
        <v>1.18337927519871</v>
      </c>
      <c r="DU37" s="103"/>
      <c r="DV37" s="103">
        <v>13570.5241</v>
      </c>
      <c r="DW37" s="104">
        <f t="shared" si="116"/>
        <v>0.186155823564169</v>
      </c>
      <c r="DX37" s="103">
        <v>14174.2605</v>
      </c>
      <c r="DY37" s="104">
        <f t="shared" si="117"/>
        <v>1.24866905162293</v>
      </c>
      <c r="DZ37" s="103">
        <v>12327.6149</v>
      </c>
      <c r="EA37" s="104">
        <f t="shared" si="118"/>
        <v>-0.336970844199954</v>
      </c>
      <c r="EB37" s="103">
        <v>13495.2463</v>
      </c>
      <c r="EC37" s="104">
        <f t="shared" si="119"/>
        <v>0.0674946725117427</v>
      </c>
      <c r="ED37" s="103">
        <v>6418.3694</v>
      </c>
      <c r="EE37" s="104">
        <f t="shared" si="120"/>
        <v>-0.608385283260624</v>
      </c>
      <c r="EF37" s="103">
        <v>10618.1946</v>
      </c>
      <c r="EG37" s="104">
        <f t="shared" si="121"/>
        <v>-0.33372940296522</v>
      </c>
      <c r="EH37" s="103">
        <v>10796.8437</v>
      </c>
      <c r="EI37" s="104">
        <f t="shared" si="122"/>
        <v>-0.38984646761935</v>
      </c>
      <c r="EJ37" s="103">
        <v>9820.3519</v>
      </c>
      <c r="EK37" s="104">
        <f t="shared" si="123"/>
        <v>-0.319222006781193</v>
      </c>
      <c r="EL37" s="103">
        <v>9844.5976</v>
      </c>
      <c r="EM37" s="104">
        <f t="shared" si="124"/>
        <v>-0.261838244115459</v>
      </c>
      <c r="EN37" s="93">
        <f t="shared" si="64"/>
        <v>139065.1829</v>
      </c>
      <c r="EO37" s="104">
        <v>-0.0818685175993429</v>
      </c>
      <c r="EP37" s="478">
        <v>18717</v>
      </c>
      <c r="EQ37" s="104">
        <f>(EP37-FP37)/FP37</f>
        <v>0.0123475353337253</v>
      </c>
      <c r="ER37" s="103">
        <v>0</v>
      </c>
      <c r="ES37" s="104">
        <f>(ER37-FQ37)/FQ37</f>
        <v>-1</v>
      </c>
      <c r="ET37" s="103">
        <v>5986.0434</v>
      </c>
      <c r="EU37" s="104">
        <f>(ET37-FR37)/FR37</f>
        <v>-0.778965977401964</v>
      </c>
      <c r="EV37" s="103">
        <v>11440.76</v>
      </c>
      <c r="EW37" s="104">
        <f>(EV37-FS37)/FS37</f>
        <v>-0.510031691648822</v>
      </c>
      <c r="EX37" s="103">
        <v>6303.4</v>
      </c>
      <c r="EY37" s="104">
        <f>(EX37-FT37)/FT37</f>
        <v>-0.747591398710607</v>
      </c>
      <c r="EZ37" s="103">
        <v>18592.87</v>
      </c>
      <c r="FA37" s="104">
        <f>(EZ37-FU37)/FU37</f>
        <v>-0.177415829757112</v>
      </c>
      <c r="FB37" s="103">
        <v>12641.98</v>
      </c>
      <c r="FC37" s="104">
        <f>(FB37-FV37)/FV37</f>
        <v>-0.52726123700546</v>
      </c>
      <c r="FD37" s="103">
        <v>16389.5</v>
      </c>
      <c r="FE37" s="104">
        <f>(FD37-FW37)/FW37</f>
        <v>-0.34775947150589</v>
      </c>
      <c r="FF37" s="103">
        <v>15936.76</v>
      </c>
      <c r="FG37" s="104">
        <f>(FF37-FX37)/FX37</f>
        <v>-0.37028765607713</v>
      </c>
      <c r="FH37" s="103">
        <v>17695.29</v>
      </c>
      <c r="FI37" s="104">
        <f>(FH37-FY37)/FY37</f>
        <v>-0.303664016999843</v>
      </c>
      <c r="FJ37" s="103">
        <v>14425.19</v>
      </c>
      <c r="FK37" s="104">
        <f>(FJ37-GA37)/GA37</f>
        <v>-0.324410359685275</v>
      </c>
      <c r="FL37" s="103">
        <v>13336.64</v>
      </c>
      <c r="FM37" s="456">
        <f>(FL37-GC37)/GC37</f>
        <v>-0.441199971340666</v>
      </c>
      <c r="FN37" s="95">
        <v>151465.4334</v>
      </c>
      <c r="FO37" s="96">
        <f>(FN37-(FP37+FQ37+FR37+FS37+FT37+FU37+FV37+FW37+FX37+FY37+GA37+GC37))/(FP37+FQ37+FR37+FS37+FT37+FU37+FV37+FW37+FX37+FY37+GA37+GC37)</f>
        <v>-0.482244298499349</v>
      </c>
      <c r="FP37" s="456">
        <v>18488.71</v>
      </c>
      <c r="FQ37" s="456">
        <v>28237</v>
      </c>
      <c r="FR37" s="557">
        <v>27082</v>
      </c>
      <c r="FS37" s="557">
        <v>23350</v>
      </c>
      <c r="FT37" s="557">
        <v>24973</v>
      </c>
      <c r="FU37" s="557">
        <v>22603</v>
      </c>
      <c r="FV37" s="584">
        <v>26742</v>
      </c>
      <c r="FW37" s="480">
        <v>25128</v>
      </c>
      <c r="FX37" s="480">
        <v>25308</v>
      </c>
      <c r="FY37" s="480">
        <v>25412</v>
      </c>
      <c r="FZ37" s="413">
        <f>(FY37-HA37)/HA37</f>
        <v>-0.109500090760065</v>
      </c>
      <c r="GA37" s="480">
        <v>21352</v>
      </c>
      <c r="GB37" s="413">
        <f>(GA37-HC37)/HC37</f>
        <v>-0.0973960094690565</v>
      </c>
      <c r="GC37" s="480">
        <v>23866.57</v>
      </c>
      <c r="GD37" s="413">
        <f>(GC37-HE37)/HE37</f>
        <v>-0.183023548528769</v>
      </c>
      <c r="GE37" s="414">
        <f>FP37+FQ37+FR37+FS37+FT37+FU37+FV37+FW37+FX37+FY37+GA37+GC37</f>
        <v>292542.28</v>
      </c>
      <c r="GF37" s="481">
        <f>(GE37-HG37)/HG37</f>
        <v>-0.115340051483094</v>
      </c>
      <c r="GG37" s="415"/>
      <c r="GH37" s="392"/>
      <c r="GI37" s="417">
        <v>19293.68</v>
      </c>
      <c r="GJ37" s="104">
        <f>(GI37-HL37)/HL37</f>
        <v>-0.277368339638768</v>
      </c>
      <c r="GK37" s="103">
        <v>34436.87</v>
      </c>
      <c r="GL37" s="104">
        <f>(GK37-HN37)/HN37</f>
        <v>0.0164182404035819</v>
      </c>
      <c r="GM37" s="103">
        <v>30180</v>
      </c>
      <c r="GN37" s="104">
        <f>(GM37-HP37)/HP37</f>
        <v>0.0158202731876629</v>
      </c>
      <c r="GO37" s="103">
        <v>25932.36</v>
      </c>
      <c r="GP37" s="104">
        <f>(GO37-HR37)/HR37</f>
        <v>0.0329168981854899</v>
      </c>
      <c r="GQ37" s="103">
        <v>27618.26</v>
      </c>
      <c r="GR37" s="104">
        <f>(GQ37-HT37)/HT37</f>
        <v>0.0104837895309917</v>
      </c>
      <c r="GS37" s="103">
        <v>25251.04</v>
      </c>
      <c r="GT37" s="104">
        <f>(GS37-HW37)/HW37</f>
        <v>-0.000230828285531743</v>
      </c>
      <c r="GU37" s="103">
        <v>29821.93</v>
      </c>
      <c r="GV37" s="104">
        <f>(GU37-HY37)/HY37</f>
        <v>0.0101482504937787</v>
      </c>
      <c r="GW37" s="103">
        <v>28293.34</v>
      </c>
      <c r="GX37" s="104">
        <f>(GW37-IA37)/IA37</f>
        <v>0.0136233671179845</v>
      </c>
      <c r="GY37" s="103">
        <v>28449.76</v>
      </c>
      <c r="GZ37" s="104">
        <f>(GY37-IC37)/IC37</f>
        <v>-0.0420353066001126</v>
      </c>
      <c r="HA37" s="103">
        <v>28536.78</v>
      </c>
      <c r="HB37" s="104">
        <f>(HA37-IE37)/IE37</f>
        <v>0.0333130799463225</v>
      </c>
      <c r="HC37" s="103">
        <v>23656</v>
      </c>
      <c r="HD37" s="104">
        <f>(HC37-IG37)/IG37</f>
        <v>-0.0249672838933713</v>
      </c>
      <c r="HE37" s="103">
        <v>29213.29</v>
      </c>
      <c r="HF37" s="104">
        <f>(HE37-II37)/II37</f>
        <v>-0.0491675701432532</v>
      </c>
      <c r="HG37" s="414">
        <f>GI37+GK37+GM37+GO37+GQ37+GS37+GU37+GW37+GY37+HA37+HC37+HE37</f>
        <v>330683.31</v>
      </c>
      <c r="HH37" s="103">
        <f>HE37+HC37+HA37+GY37+GW37+GU37+GS37+GQ37+GO37+GM37+GK37+GI37</f>
        <v>330683.31</v>
      </c>
      <c r="HI37" s="394"/>
      <c r="HJ37" s="585"/>
      <c r="HK37" s="493"/>
      <c r="HL37" s="417">
        <v>26699.19</v>
      </c>
      <c r="HM37" s="418">
        <f>(HL37-IN37)/IN37</f>
        <v>0.0517777947608058</v>
      </c>
      <c r="HN37" s="421">
        <v>33880.61</v>
      </c>
      <c r="HO37" s="418">
        <f>(HN37-IP37)/IP37</f>
        <v>-0.133946955461698</v>
      </c>
      <c r="HP37" s="421">
        <v>29709.98</v>
      </c>
      <c r="HQ37" s="423">
        <f>(HP37-IR37)/IR37</f>
        <v>-0.0176979797826171</v>
      </c>
      <c r="HR37" s="439">
        <v>25105.95</v>
      </c>
      <c r="HS37" s="304">
        <f>(HR37-IT37)/IT37</f>
        <v>-0.0409014001431049</v>
      </c>
      <c r="HT37" s="439">
        <v>27331.72</v>
      </c>
      <c r="HU37" s="304">
        <f>(HT37-IV37)/IV37</f>
        <v>-0.0591992509866082</v>
      </c>
      <c r="HV37" s="423"/>
      <c r="HW37" s="439">
        <v>25256.87</v>
      </c>
      <c r="HX37" s="304">
        <f>(HW37-IX37)/IX37</f>
        <v>-0.00523478344436225</v>
      </c>
      <c r="HY37" s="439">
        <v>29522.33</v>
      </c>
      <c r="HZ37" s="304">
        <f>(HY37-IZ37)/IZ37</f>
        <v>0.000212765597022721</v>
      </c>
      <c r="IA37" s="439">
        <v>27913.07</v>
      </c>
      <c r="IB37" s="422">
        <f>(IA37-JB37)/JB37</f>
        <v>0.00329206066679415</v>
      </c>
      <c r="IC37" s="439">
        <v>29698.13</v>
      </c>
      <c r="ID37" s="425">
        <f>(IC37-JD37)/JD37</f>
        <v>0.00251623790364371</v>
      </c>
      <c r="IE37" s="439">
        <v>27616.78</v>
      </c>
      <c r="IF37" s="425">
        <f>(IE37-JF37)/JF37</f>
        <v>-0.00659279152634931</v>
      </c>
      <c r="IG37" s="565">
        <v>24261.75</v>
      </c>
      <c r="IH37" s="469">
        <f>(IG37-JH37)/JH37</f>
        <v>-0.00357512485214874</v>
      </c>
      <c r="II37" s="565">
        <v>30723.91</v>
      </c>
      <c r="IJ37" s="309">
        <f>(II37-JJ37)/JJ37</f>
        <v>-0.0276726737370848</v>
      </c>
      <c r="IK37" s="391">
        <f>HL37+HN37+HP37+HR37+HT37+HW37+HY37+IA37+IC37+IE37+IG37+II37</f>
        <v>337720.29</v>
      </c>
      <c r="IL37" s="104">
        <f>IK37/JL37-1</f>
        <v>-0.0241470518861077</v>
      </c>
      <c r="IM37" s="392"/>
      <c r="IN37" s="417">
        <v>25384.82</v>
      </c>
      <c r="IO37" s="104">
        <f>IN37/JP37-1</f>
        <v>-0.0383136284657823</v>
      </c>
      <c r="IP37" s="103">
        <v>39120.71</v>
      </c>
      <c r="IQ37" s="104">
        <f>IP37/JQ37-1</f>
        <v>0.0772354029009972</v>
      </c>
      <c r="IR37" s="103">
        <v>30245.26</v>
      </c>
      <c r="IS37" s="394">
        <f>(IR37-JR37)/JR37</f>
        <v>-0.0550888121799931</v>
      </c>
      <c r="IT37" s="517">
        <v>26176.61</v>
      </c>
      <c r="IU37" s="104">
        <f>(IT37-JS37)/JS37</f>
        <v>-0.00807205029764566</v>
      </c>
      <c r="IV37" s="517">
        <v>29051.55</v>
      </c>
      <c r="IW37" s="104">
        <f>(IV37-JT37)/JT37</f>
        <v>-0.0744342165646437</v>
      </c>
      <c r="IX37" s="517">
        <v>25389.78</v>
      </c>
      <c r="IY37" s="104">
        <f>(IX37-JU37)/JU37</f>
        <v>-0.107811787111748</v>
      </c>
      <c r="IZ37" s="517">
        <v>29516.05</v>
      </c>
      <c r="JA37" s="104">
        <f>(IZ37-JV37)/JV37</f>
        <v>-0.0202792227747929</v>
      </c>
      <c r="JB37" s="103">
        <v>27821.48</v>
      </c>
      <c r="JC37" s="104">
        <f>(JB37-JW37)/JW37</f>
        <v>-0.0515126270119686</v>
      </c>
      <c r="JD37" s="103">
        <v>29623.59</v>
      </c>
      <c r="JE37" s="394">
        <f>(JD37-JX37)/JX37</f>
        <v>-0.0826539550167226</v>
      </c>
      <c r="JF37" s="103">
        <v>27800.06</v>
      </c>
      <c r="JG37" s="418">
        <f>(JF37-JY37)/JY37</f>
        <v>-0.0218660652885132</v>
      </c>
      <c r="JH37" s="103">
        <v>24348.8</v>
      </c>
      <c r="JI37" s="394">
        <f>(JH37-JZ37)/JZ37</f>
        <v>-0.0241798990795494</v>
      </c>
      <c r="JJ37" s="103">
        <v>31598.32</v>
      </c>
      <c r="JK37" s="418">
        <f>(JJ37-KA37)/KA37</f>
        <v>-0.264698270518076</v>
      </c>
      <c r="JL37" s="399">
        <f t="shared" si="126"/>
        <v>346077.03</v>
      </c>
      <c r="JM37" s="398">
        <f>JL37/JO37-1</f>
        <v>-0.0622618340072105</v>
      </c>
      <c r="JN37" s="400"/>
      <c r="JO37" s="518">
        <v>369055.075873558</v>
      </c>
      <c r="JP37" s="424">
        <v>26396.1523750228</v>
      </c>
      <c r="JQ37" s="424">
        <v>36315.8413608092</v>
      </c>
      <c r="JR37" s="424">
        <v>32008.5743399636</v>
      </c>
      <c r="JS37" s="424">
        <v>26389.6284078443</v>
      </c>
      <c r="JT37" s="424">
        <v>31387.8824389677</v>
      </c>
      <c r="JU37" s="424">
        <v>28457.8742839546</v>
      </c>
      <c r="JV37" s="424">
        <v>30127.0021889259</v>
      </c>
      <c r="JW37" s="424">
        <v>29332.4727269206</v>
      </c>
      <c r="JX37" s="424">
        <v>32292.710217702</v>
      </c>
      <c r="JY37" s="424">
        <v>28421.5269641984</v>
      </c>
      <c r="JZ37" s="424">
        <v>24952.1402326441</v>
      </c>
      <c r="KA37" s="424">
        <v>42973.2703366051</v>
      </c>
    </row>
    <row r="38" s="286" customFormat="1" ht="28.8" hidden="1" customHeight="1" spans="1:287">
      <c r="A38" s="298" t="s">
        <v>102</v>
      </c>
      <c r="B38" s="164" t="s">
        <v>206</v>
      </c>
      <c r="C38" s="109">
        <v>136.7024</v>
      </c>
      <c r="D38" s="359">
        <f t="shared" si="76"/>
        <v>-0.179455905382783</v>
      </c>
      <c r="E38" s="163">
        <v>146.6421</v>
      </c>
      <c r="F38" s="359">
        <f t="shared" si="77"/>
        <v>-0.097932915565294</v>
      </c>
      <c r="G38" s="163">
        <v>136.5708</v>
      </c>
      <c r="H38" s="359">
        <f t="shared" si="78"/>
        <v>-0.126736589567323</v>
      </c>
      <c r="I38" s="163">
        <v>136.3122</v>
      </c>
      <c r="J38" s="359">
        <f t="shared" si="79"/>
        <v>-0.140171105143941</v>
      </c>
      <c r="K38" s="163">
        <v>142.7334</v>
      </c>
      <c r="L38" s="359">
        <f t="shared" si="80"/>
        <v>-0.0727924697445093</v>
      </c>
      <c r="M38" s="163">
        <v>133.5838</v>
      </c>
      <c r="N38" s="359">
        <f t="shared" si="81"/>
        <v>-0.112367561605241</v>
      </c>
      <c r="O38" s="163">
        <v>129.1751</v>
      </c>
      <c r="P38" s="359">
        <f t="shared" si="82"/>
        <v>-0.113853374832015</v>
      </c>
      <c r="Q38" s="127"/>
      <c r="R38" s="127"/>
      <c r="S38" s="109">
        <f t="shared" si="95"/>
        <v>961.7198</v>
      </c>
      <c r="T38" s="359">
        <f t="shared" si="96"/>
        <v>-0.225096744079388</v>
      </c>
      <c r="U38" s="359"/>
      <c r="V38" s="109">
        <v>166.5997</v>
      </c>
      <c r="W38" s="359">
        <f t="shared" si="83"/>
        <v>0.103277853677014</v>
      </c>
      <c r="X38" s="109">
        <v>162.5623</v>
      </c>
      <c r="Y38" s="359">
        <f t="shared" si="84"/>
        <v>0.0717705589003959</v>
      </c>
      <c r="Z38" s="109">
        <v>156.3913</v>
      </c>
      <c r="AA38" s="359">
        <f t="shared" si="85"/>
        <v>0.127754914551948</v>
      </c>
      <c r="AB38" s="109">
        <v>158.5341</v>
      </c>
      <c r="AC38" s="359">
        <f t="shared" si="86"/>
        <v>0.124477336902515</v>
      </c>
      <c r="AD38" s="163">
        <v>153.939</v>
      </c>
      <c r="AE38" s="359">
        <f t="shared" si="87"/>
        <v>0.103384359994925</v>
      </c>
      <c r="AF38" s="163">
        <v>150.4945</v>
      </c>
      <c r="AG38" s="359">
        <f t="shared" si="88"/>
        <v>0.113090421747253</v>
      </c>
      <c r="AH38" s="163">
        <v>145.7717</v>
      </c>
      <c r="AI38" s="359">
        <f t="shared" si="89"/>
        <v>0.113157046705164</v>
      </c>
      <c r="AJ38" s="163">
        <v>146.7911</v>
      </c>
      <c r="AK38" s="359">
        <f t="shared" si="90"/>
        <v>-0.0612489088275453</v>
      </c>
      <c r="AL38" s="163">
        <v>151.2837</v>
      </c>
      <c r="AM38" s="359">
        <f t="shared" si="91"/>
        <v>-0.188739477412567</v>
      </c>
      <c r="AN38" s="163">
        <v>156.9226</v>
      </c>
      <c r="AO38" s="359">
        <f t="shared" si="92"/>
        <v>-0.226213053173056</v>
      </c>
      <c r="AP38" s="163">
        <v>149.9079</v>
      </c>
      <c r="AQ38" s="359">
        <f t="shared" si="93"/>
        <v>-0.136593600646916</v>
      </c>
      <c r="AR38" s="163">
        <v>145.3567</v>
      </c>
      <c r="AS38" s="359">
        <f t="shared" si="94"/>
        <v>-0.110390357528866</v>
      </c>
      <c r="AT38" s="107">
        <f t="shared" si="97"/>
        <v>1844.5546</v>
      </c>
      <c r="AU38" s="359">
        <f t="shared" si="98"/>
        <v>-0.013964300523666</v>
      </c>
      <c r="AV38" s="360"/>
      <c r="AW38" s="450">
        <v>151.0043</v>
      </c>
      <c r="AX38" s="361">
        <v>-0.0832439369848327</v>
      </c>
      <c r="AY38" s="108">
        <v>151.6764</v>
      </c>
      <c r="AZ38" s="361">
        <f t="shared" si="65"/>
        <v>-0.124425404965748</v>
      </c>
      <c r="BA38" s="108">
        <v>138.6749</v>
      </c>
      <c r="BB38" s="361">
        <f t="shared" si="66"/>
        <v>-0.182891109224278</v>
      </c>
      <c r="BC38" s="108">
        <v>140.9847</v>
      </c>
      <c r="BD38" s="361">
        <f t="shared" si="67"/>
        <v>-0.166562524939333</v>
      </c>
      <c r="BE38" s="483">
        <v>139.5153</v>
      </c>
      <c r="BF38" s="361">
        <f t="shared" si="68"/>
        <v>-0.133427579571507</v>
      </c>
      <c r="BG38" s="363">
        <v>135.2042</v>
      </c>
      <c r="BH38" s="361">
        <f t="shared" si="69"/>
        <v>-0.139222051529202</v>
      </c>
      <c r="BI38" s="363">
        <v>130.9534</v>
      </c>
      <c r="BJ38" s="361">
        <f t="shared" si="70"/>
        <v>-0.161550518230921</v>
      </c>
      <c r="BK38" s="363">
        <v>156.3685</v>
      </c>
      <c r="BL38" s="361">
        <f t="shared" si="71"/>
        <v>0.0106593036550708</v>
      </c>
      <c r="BM38" s="363">
        <v>186.4798</v>
      </c>
      <c r="BN38" s="361">
        <f t="shared" si="72"/>
        <v>0.250785934143179</v>
      </c>
      <c r="BO38" s="363">
        <v>202.7982</v>
      </c>
      <c r="BP38" s="361">
        <f t="shared" si="73"/>
        <v>0.353572582303016</v>
      </c>
      <c r="BQ38" s="363">
        <v>173.6238</v>
      </c>
      <c r="BR38" s="361">
        <f t="shared" si="74"/>
        <v>0.221861281455448</v>
      </c>
      <c r="BS38" s="363">
        <v>163.3938</v>
      </c>
      <c r="BT38" s="361">
        <f t="shared" si="75"/>
        <v>0.168167444640417</v>
      </c>
      <c r="BU38" s="108">
        <f t="shared" si="99"/>
        <v>1870.6773</v>
      </c>
      <c r="BV38" s="361">
        <f t="shared" si="100"/>
        <v>-0.00848125332628191</v>
      </c>
      <c r="BW38" s="364"/>
      <c r="BX38" s="450">
        <v>164.7159</v>
      </c>
      <c r="BY38" s="361">
        <f t="shared" si="101"/>
        <v>-0.137955198931523</v>
      </c>
      <c r="BZ38" s="450">
        <v>173.2307</v>
      </c>
      <c r="CA38" s="586">
        <f t="shared" si="102"/>
        <v>-0.126746072313985</v>
      </c>
      <c r="CB38" s="587">
        <v>169.7141</v>
      </c>
      <c r="CC38" s="361">
        <f t="shared" si="103"/>
        <v>-0.025353071978903</v>
      </c>
      <c r="CD38" s="108">
        <v>169.1605</v>
      </c>
      <c r="CE38" s="361">
        <v>0.178290021760269</v>
      </c>
      <c r="CF38" s="363">
        <v>160.9967</v>
      </c>
      <c r="CG38" s="361">
        <f t="shared" si="104"/>
        <v>0.106689836598364</v>
      </c>
      <c r="CH38" s="363">
        <v>157.0721</v>
      </c>
      <c r="CI38" s="361">
        <f t="shared" si="105"/>
        <v>0.0327956055979444</v>
      </c>
      <c r="CJ38" s="363">
        <v>156.1852</v>
      </c>
      <c r="CK38" s="361">
        <f t="shared" si="106"/>
        <v>-0.00608433301748168</v>
      </c>
      <c r="CL38" s="108">
        <v>154.7193</v>
      </c>
      <c r="CM38" s="361">
        <f t="shared" si="107"/>
        <v>0.0039204464715008</v>
      </c>
      <c r="CN38" s="108">
        <f>125.6761+CN40</f>
        <v>149.0901</v>
      </c>
      <c r="CO38" s="361">
        <f t="shared" si="108"/>
        <v>-0.0482434105152147</v>
      </c>
      <c r="CP38" s="108">
        <f>128.6553+CP40</f>
        <v>149.8244</v>
      </c>
      <c r="CQ38" s="361">
        <f t="shared" si="109"/>
        <v>0.00185627509247954</v>
      </c>
      <c r="CR38" s="108">
        <v>142.0978</v>
      </c>
      <c r="CS38" s="361">
        <f t="shared" si="110"/>
        <v>0.480560183463106</v>
      </c>
      <c r="CT38" s="108">
        <v>139.8719</v>
      </c>
      <c r="CU38" s="361">
        <f t="shared" si="111"/>
        <v>0.301976907839867</v>
      </c>
      <c r="CV38" s="108">
        <f t="shared" si="112"/>
        <v>1886.6787</v>
      </c>
      <c r="CW38" s="361">
        <f t="shared" si="113"/>
        <v>0.0334795953262994</v>
      </c>
      <c r="CX38" s="365">
        <f t="shared" si="114"/>
        <v>-0.0156645634204048</v>
      </c>
      <c r="CY38" s="365"/>
      <c r="CZ38" s="453">
        <v>191.0758</v>
      </c>
      <c r="DA38" s="450">
        <v>198.3738</v>
      </c>
      <c r="DB38" s="450">
        <v>174.1288</v>
      </c>
      <c r="DC38" s="450">
        <v>143.5644</v>
      </c>
      <c r="DD38" s="108">
        <v>145.4759</v>
      </c>
      <c r="DE38" s="108">
        <v>152.0844</v>
      </c>
      <c r="DF38" s="108">
        <v>157.1413</v>
      </c>
      <c r="DG38" s="108">
        <v>154.1151</v>
      </c>
      <c r="DH38" s="108">
        <v>156.6473</v>
      </c>
      <c r="DI38" s="108">
        <v>149.5468</v>
      </c>
      <c r="DJ38" s="108">
        <v>95.9757</v>
      </c>
      <c r="DK38" s="108">
        <v>107.4304</v>
      </c>
      <c r="DL38" s="108">
        <v>1825.5597</v>
      </c>
      <c r="DM38" s="368">
        <v>-0.217577155491586</v>
      </c>
      <c r="DN38" s="369"/>
      <c r="DO38" s="370">
        <v>195.8309</v>
      </c>
      <c r="DP38" s="371">
        <f>(DO38-DX38)/DX38</f>
        <v>-0.118804877576853</v>
      </c>
      <c r="DQ38" s="388">
        <v>236.2488</v>
      </c>
      <c r="DR38" s="532"/>
      <c r="DS38" s="388">
        <v>213.2599</v>
      </c>
      <c r="DT38" s="373">
        <f t="shared" si="115"/>
        <v>10.8477722222222</v>
      </c>
      <c r="DU38" s="374"/>
      <c r="DV38" s="388">
        <v>210.5397</v>
      </c>
      <c r="DW38" s="373">
        <f t="shared" si="116"/>
        <v>0.169975693545286</v>
      </c>
      <c r="DX38" s="388">
        <v>222.2333</v>
      </c>
      <c r="DY38" s="373">
        <f t="shared" si="117"/>
        <v>0.45250522875817</v>
      </c>
      <c r="DZ38" s="388">
        <v>203.1977</v>
      </c>
      <c r="EA38" s="373">
        <f t="shared" si="118"/>
        <v>0.294252866242038</v>
      </c>
      <c r="EB38" s="388">
        <v>200.4787</v>
      </c>
      <c r="EC38" s="373">
        <f t="shared" si="119"/>
        <v>0.276934394904459</v>
      </c>
      <c r="ED38" s="388">
        <v>148.3964</v>
      </c>
      <c r="EE38" s="373">
        <f t="shared" si="120"/>
        <v>-0.148011845448815</v>
      </c>
      <c r="EF38" s="388">
        <v>171.5654</v>
      </c>
      <c r="EG38" s="373">
        <f t="shared" si="121"/>
        <v>-0.0768594191973407</v>
      </c>
      <c r="EH38" s="388">
        <v>177.2809</v>
      </c>
      <c r="EI38" s="373">
        <f t="shared" si="122"/>
        <v>-0.106890480280707</v>
      </c>
      <c r="EJ38" s="388">
        <v>176.0252</v>
      </c>
      <c r="EK38" s="373">
        <f t="shared" si="123"/>
        <v>-0.0379838153018467</v>
      </c>
      <c r="EL38" s="388">
        <v>178.1568</v>
      </c>
      <c r="EM38" s="373">
        <f t="shared" si="124"/>
        <v>-0.0181753252049546</v>
      </c>
      <c r="EN38" s="372">
        <f t="shared" si="64"/>
        <v>2333.2137</v>
      </c>
      <c r="EO38" s="373">
        <v>0.0411916228031052</v>
      </c>
      <c r="EP38" s="533">
        <v>653</v>
      </c>
      <c r="EQ38" s="373">
        <f>(EP38-FP38)/FP38</f>
        <v>-0.0930555555555556</v>
      </c>
      <c r="ER38" s="388">
        <v>0</v>
      </c>
      <c r="ES38" s="373">
        <f>(ER38-FQ38)/FQ38</f>
        <v>-1</v>
      </c>
      <c r="ET38" s="388">
        <v>18</v>
      </c>
      <c r="EU38" s="373">
        <f>(ET38-FR38)/FR38</f>
        <v>-0.974285714285714</v>
      </c>
      <c r="EV38" s="388">
        <v>179.9522</v>
      </c>
      <c r="EW38" s="373">
        <f>(EV38-FS38)/FS38</f>
        <v>-0.723150461538462</v>
      </c>
      <c r="EX38" s="388">
        <v>153</v>
      </c>
      <c r="EY38" s="373">
        <f>(EX38-FT38)/FT38</f>
        <v>-0.767477203647416</v>
      </c>
      <c r="EZ38" s="388">
        <v>157</v>
      </c>
      <c r="FA38" s="373">
        <f>(EZ38-FU38)/FU38</f>
        <v>-0.745954692556634</v>
      </c>
      <c r="FB38" s="388">
        <v>157</v>
      </c>
      <c r="FC38" s="373">
        <f>(FB38-FV38)/FV38</f>
        <v>-0.740495867768595</v>
      </c>
      <c r="FD38" s="388">
        <v>174.1766</v>
      </c>
      <c r="FE38" s="373">
        <f>(FD38-FW38)/FW38</f>
        <v>-0.697084173913043</v>
      </c>
      <c r="FF38" s="388">
        <v>185.8497</v>
      </c>
      <c r="FG38" s="373">
        <f>(FF38-FX38)/FX38</f>
        <v>-0.714077384615385</v>
      </c>
      <c r="FH38" s="388">
        <v>198.4985</v>
      </c>
      <c r="FI38" s="373">
        <f>(FH38-FY38)/FY38</f>
        <v>-0.717640825035562</v>
      </c>
      <c r="FJ38" s="388">
        <v>182.9753</v>
      </c>
      <c r="FK38" s="373">
        <f>(FJ38-GA38)/GA38</f>
        <v>-0.709101271860095</v>
      </c>
      <c r="FL38" s="388">
        <v>181.4548</v>
      </c>
      <c r="FM38" s="456">
        <f>(FL38-GC38)/GC38</f>
        <v>-0.717360124610592</v>
      </c>
      <c r="FN38" s="359">
        <v>2240.9071</v>
      </c>
      <c r="FO38" s="358">
        <f>(FN38-(FP38+FQ38+FR38+FS38+FT38+FU38+FV38+FW38+FX38+FY38+GA38+GC38))/(FP38+FQ38+FR38+FS38+FT38+FU38+FV38+FW38+FX38+FY38+GA38+GC38)</f>
        <v>-0.715729151338323</v>
      </c>
      <c r="FP38" s="512">
        <v>720</v>
      </c>
      <c r="FQ38" s="512">
        <v>733</v>
      </c>
      <c r="FR38" s="512">
        <v>700</v>
      </c>
      <c r="FS38" s="512">
        <v>650</v>
      </c>
      <c r="FT38" s="554">
        <v>658</v>
      </c>
      <c r="FU38" s="554">
        <v>618</v>
      </c>
      <c r="FV38" s="589">
        <v>605</v>
      </c>
      <c r="FW38" s="484">
        <v>575</v>
      </c>
      <c r="FX38" s="375">
        <v>650</v>
      </c>
      <c r="FY38" s="375">
        <v>703</v>
      </c>
      <c r="FZ38" s="376">
        <f>(FY38-HA38)/HA38</f>
        <v>-0.129950495049505</v>
      </c>
      <c r="GA38" s="375">
        <v>629</v>
      </c>
      <c r="GB38" s="376">
        <f>(GA38-HC38)/HC38</f>
        <v>-0.107801418439716</v>
      </c>
      <c r="GC38" s="375">
        <v>642</v>
      </c>
      <c r="GD38" s="376">
        <f>(GC38-HE38)/HE38</f>
        <v>-0.11448275862069</v>
      </c>
      <c r="GE38" s="375">
        <f>FP38+FQ38+FR38+FS38+FT38+FU38+FV38+FW38+FX38+FY38+GA38+GC38</f>
        <v>7883</v>
      </c>
      <c r="GF38" s="377">
        <f>(GE38-HG38)/HG38</f>
        <v>-0.162096088435374</v>
      </c>
      <c r="GG38" s="317"/>
      <c r="GH38" s="590"/>
      <c r="GI38" s="379">
        <v>850</v>
      </c>
      <c r="GJ38" s="376">
        <f>(GI38-HL38)/HL38</f>
        <v>0</v>
      </c>
      <c r="GK38" s="375">
        <v>857</v>
      </c>
      <c r="GL38" s="376">
        <f>(GK38-HN38)/HN38</f>
        <v>-0.0978947368421053</v>
      </c>
      <c r="GM38" s="375">
        <v>938</v>
      </c>
      <c r="GN38" s="376">
        <f>(GM38-HP38)/HP38</f>
        <v>0.0285087719298246</v>
      </c>
      <c r="GO38" s="533">
        <v>776</v>
      </c>
      <c r="GP38" s="376">
        <f>(GO38-HR38)/HR38</f>
        <v>0</v>
      </c>
      <c r="GQ38" s="533">
        <v>784</v>
      </c>
      <c r="GR38" s="376">
        <f>(GQ38-HT38)/HT38</f>
        <v>-0.0519951632406288</v>
      </c>
      <c r="GS38" s="375">
        <v>763</v>
      </c>
      <c r="GT38" s="376">
        <f>(GS38-HW38)/HW38</f>
        <v>-0.0378310214375788</v>
      </c>
      <c r="GU38" s="375">
        <v>750</v>
      </c>
      <c r="GV38" s="376">
        <f>(GU38-HY38)/HY38</f>
        <v>-0.0384615384615385</v>
      </c>
      <c r="GW38" s="375">
        <v>700</v>
      </c>
      <c r="GX38" s="376">
        <f>(GW38-IA38)/IA38</f>
        <v>-0.0641711229946524</v>
      </c>
      <c r="GY38" s="375">
        <v>752</v>
      </c>
      <c r="GZ38" s="376">
        <f>(GY38-IC38)/IC38</f>
        <v>-0.0408163265306122</v>
      </c>
      <c r="HA38" s="375">
        <v>808</v>
      </c>
      <c r="HB38" s="376">
        <f>(HA38-IE38)/IE38</f>
        <v>-0.0437869822485207</v>
      </c>
      <c r="HC38" s="375">
        <v>705</v>
      </c>
      <c r="HD38" s="376">
        <f>(HC38-IG38)/IG38</f>
        <v>-0.0699208443271768</v>
      </c>
      <c r="HE38" s="375">
        <v>725</v>
      </c>
      <c r="HF38" s="376">
        <f>(HE38-II38)/II38</f>
        <v>-0.0960099750623441</v>
      </c>
      <c r="HG38" s="375">
        <f>GI38+GK38+GM38+GO38+GQ38+GS38+GU38+GW38+GY38+HA38+HC38+HE38</f>
        <v>9408</v>
      </c>
      <c r="HH38" s="375">
        <f>HE38+HC38+HA38+GY38+GW38+GU38+GS38+GQ38+GO38+GM38+GK38+GI38</f>
        <v>9408</v>
      </c>
      <c r="HI38" s="377"/>
      <c r="HJ38" s="583"/>
      <c r="HK38" s="485"/>
      <c r="HL38" s="379">
        <v>850</v>
      </c>
      <c r="HM38" s="380">
        <f>(HL38-IN38)/IN38</f>
        <v>0.0131108462455304</v>
      </c>
      <c r="HN38" s="462">
        <v>950</v>
      </c>
      <c r="HO38" s="380">
        <f>(HN38-IP38)/IP38</f>
        <v>-0.170305676855895</v>
      </c>
      <c r="HP38" s="462">
        <v>912</v>
      </c>
      <c r="HQ38" s="466">
        <f>(HP38-IR38)/IR38</f>
        <v>-0.0480167014613779</v>
      </c>
      <c r="HR38" s="464">
        <v>776</v>
      </c>
      <c r="HS38" s="465">
        <f>(HR38-IT38)/IT38</f>
        <v>-0.0536585365853659</v>
      </c>
      <c r="HT38" s="464">
        <v>827</v>
      </c>
      <c r="HU38" s="465">
        <f>(HT38-IV38)/IV38</f>
        <v>-0.0372526193247963</v>
      </c>
      <c r="HV38" s="466"/>
      <c r="HW38" s="464">
        <v>793</v>
      </c>
      <c r="HX38" s="465">
        <f>(HW38-IX38)/IX38</f>
        <v>-0.0233990147783251</v>
      </c>
      <c r="HY38" s="464">
        <v>780</v>
      </c>
      <c r="HZ38" s="465">
        <f>(HY38-IZ38)/IZ38</f>
        <v>-0.0522478736330498</v>
      </c>
      <c r="IA38" s="464">
        <v>748</v>
      </c>
      <c r="IB38" s="390">
        <f>(IA38-JB38)/JB38</f>
        <v>-0.0196592398427261</v>
      </c>
      <c r="IC38" s="464">
        <v>784</v>
      </c>
      <c r="ID38" s="390">
        <f>(IC38-JD38)/JD38</f>
        <v>-0.0212234706616729</v>
      </c>
      <c r="IE38" s="464">
        <v>845</v>
      </c>
      <c r="IF38" s="377">
        <f>(IE38-JF38)/JF38</f>
        <v>-0.00821596244131455</v>
      </c>
      <c r="IG38" s="464">
        <v>758</v>
      </c>
      <c r="IH38" s="390">
        <f>(IG38-JH38)/JH38</f>
        <v>0.0513176144244105</v>
      </c>
      <c r="II38" s="464">
        <v>802</v>
      </c>
      <c r="IJ38" s="309">
        <f>(II38-JJ38)/JJ38</f>
        <v>0.038860103626943</v>
      </c>
      <c r="IK38" s="391">
        <f>HL38+HN38+HP38+HR38+HT38+HW38+HY38+IA38+IC38+IE38+IG38+II38</f>
        <v>9825</v>
      </c>
      <c r="IL38" s="104">
        <f>IK38/JL38-1</f>
        <v>-0.0334481062469257</v>
      </c>
      <c r="IM38" s="318"/>
      <c r="IN38" s="537">
        <v>839</v>
      </c>
      <c r="IO38" s="300">
        <f>IN38/JP38-1</f>
        <v>0.0256723716381417</v>
      </c>
      <c r="IP38" s="414">
        <v>1145</v>
      </c>
      <c r="IQ38" s="300">
        <f>IP38/JQ38-1</f>
        <v>0.0140281271033333</v>
      </c>
      <c r="IR38" s="560">
        <v>958</v>
      </c>
      <c r="IS38" s="394">
        <f>(IR38-JR38)/JR38</f>
        <v>0.020234291799787</v>
      </c>
      <c r="IT38" s="561">
        <v>820</v>
      </c>
      <c r="IU38" s="300">
        <f>(IT38-JS38)/JS38</f>
        <v>0.00613496932515337</v>
      </c>
      <c r="IV38" s="561">
        <v>859</v>
      </c>
      <c r="IW38" s="300">
        <f>(IV38-JT38)/JT38</f>
        <v>0.00821596244131455</v>
      </c>
      <c r="IX38" s="561">
        <v>812</v>
      </c>
      <c r="IY38" s="413">
        <f>(IX38-JU38)/JU38</f>
        <v>0.0175438596491228</v>
      </c>
      <c r="IZ38" s="561">
        <v>823</v>
      </c>
      <c r="JA38" s="413">
        <f>(IZ38-JV38)/JV38</f>
        <v>-0.0155502392344498</v>
      </c>
      <c r="JB38" s="414">
        <v>763</v>
      </c>
      <c r="JC38" s="413">
        <f>(JB38-JW38)/JW38</f>
        <v>0.00792602377807133</v>
      </c>
      <c r="JD38" s="414">
        <v>801</v>
      </c>
      <c r="JE38" s="469">
        <f>(JD38-JX38)/JX38</f>
        <v>-0.0255474452554745</v>
      </c>
      <c r="JF38" s="414">
        <v>852</v>
      </c>
      <c r="JG38" s="418">
        <f>(JF38-JY38)/JY38</f>
        <v>-0.0218140068886338</v>
      </c>
      <c r="JH38" s="375">
        <v>721</v>
      </c>
      <c r="JI38" s="398">
        <f>(JH38-JZ38)/JZ38</f>
        <v>-0.0218025424993556</v>
      </c>
      <c r="JJ38" s="472">
        <v>772</v>
      </c>
      <c r="JK38" s="398">
        <f>(JJ38-KA38)/KA38</f>
        <v>-0.0653753026634383</v>
      </c>
      <c r="JL38" s="399">
        <f t="shared" si="126"/>
        <v>10165</v>
      </c>
      <c r="JM38" s="398">
        <f>JL38/JO38-1</f>
        <v>-0.00345384368783841</v>
      </c>
      <c r="JN38" s="400"/>
      <c r="JO38" s="528">
        <v>10200.23</v>
      </c>
      <c r="JP38" s="388">
        <v>818</v>
      </c>
      <c r="JQ38" s="388">
        <v>1129.16</v>
      </c>
      <c r="JR38" s="388">
        <v>939</v>
      </c>
      <c r="JS38" s="388">
        <v>815</v>
      </c>
      <c r="JT38" s="388">
        <v>852</v>
      </c>
      <c r="JU38" s="388">
        <v>798</v>
      </c>
      <c r="JV38" s="388">
        <v>836</v>
      </c>
      <c r="JW38" s="388">
        <v>757</v>
      </c>
      <c r="JX38" s="388">
        <v>822</v>
      </c>
      <c r="JY38" s="388">
        <v>871</v>
      </c>
      <c r="JZ38" s="388">
        <v>737.07</v>
      </c>
      <c r="KA38" s="388">
        <v>826</v>
      </c>
    </row>
    <row r="39" ht="28.8" hidden="1" customHeight="1" spans="1:287">
      <c r="A39" s="401"/>
      <c r="B39" s="141" t="s">
        <v>209</v>
      </c>
      <c r="C39" s="163">
        <v>7888.0719</v>
      </c>
      <c r="D39" s="359">
        <f t="shared" si="76"/>
        <v>-0.0883690133026297</v>
      </c>
      <c r="E39" s="163">
        <v>9890.8954</v>
      </c>
      <c r="F39" s="359">
        <f t="shared" si="77"/>
        <v>0.114481402916049</v>
      </c>
      <c r="G39" s="163">
        <v>9258.3636</v>
      </c>
      <c r="H39" s="359">
        <f t="shared" si="78"/>
        <v>0.0687122063091785</v>
      </c>
      <c r="I39" s="163">
        <v>9236.1468</v>
      </c>
      <c r="J39" s="359">
        <f t="shared" si="79"/>
        <v>0.00372528740688627</v>
      </c>
      <c r="K39" s="163">
        <v>9544.8729</v>
      </c>
      <c r="L39" s="359">
        <f t="shared" si="80"/>
        <v>0.0624049506392519</v>
      </c>
      <c r="M39" s="163">
        <v>9053.128</v>
      </c>
      <c r="N39" s="359">
        <f t="shared" si="81"/>
        <v>0.054127389488043</v>
      </c>
      <c r="O39" s="163">
        <v>8677.8103</v>
      </c>
      <c r="P39" s="359">
        <f t="shared" si="82"/>
        <v>0.0174907648500353</v>
      </c>
      <c r="Q39" s="127"/>
      <c r="R39" s="127"/>
      <c r="S39" s="109">
        <f t="shared" si="95"/>
        <v>63549.2889</v>
      </c>
      <c r="T39" s="359">
        <f t="shared" si="96"/>
        <v>-0.0967698931795719</v>
      </c>
      <c r="U39" s="359"/>
      <c r="V39" s="403">
        <v>8652.7027</v>
      </c>
      <c r="W39" s="404">
        <f t="shared" si="83"/>
        <v>0.267291043395115</v>
      </c>
      <c r="X39" s="488">
        <v>8874.886</v>
      </c>
      <c r="Y39" s="405">
        <f t="shared" si="84"/>
        <v>0.220181911318047</v>
      </c>
      <c r="Z39" s="488">
        <v>8663.1027</v>
      </c>
      <c r="AA39" s="405">
        <f t="shared" si="85"/>
        <v>0.238947473182783</v>
      </c>
      <c r="AB39" s="488">
        <v>9201.8672</v>
      </c>
      <c r="AC39" s="405">
        <f t="shared" si="86"/>
        <v>0.259940498239036</v>
      </c>
      <c r="AD39" s="403">
        <v>8984.2135</v>
      </c>
      <c r="AE39" s="405">
        <f t="shared" si="87"/>
        <v>0.249525371751042</v>
      </c>
      <c r="AF39" s="403">
        <v>8588.2675</v>
      </c>
      <c r="AG39" s="405">
        <f t="shared" si="88"/>
        <v>0.280762431963852</v>
      </c>
      <c r="AH39" s="403">
        <v>8528.6379</v>
      </c>
      <c r="AI39" s="405">
        <f t="shared" si="89"/>
        <v>0.287825656185902</v>
      </c>
      <c r="AJ39" s="403">
        <v>8864.1288</v>
      </c>
      <c r="AK39" s="405">
        <f t="shared" si="90"/>
        <v>-0.0244619436622191</v>
      </c>
      <c r="AL39" s="403">
        <v>8956.6383</v>
      </c>
      <c r="AM39" s="405">
        <f t="shared" si="91"/>
        <v>-0.1607590050883</v>
      </c>
      <c r="AN39" s="403">
        <v>9643.3971</v>
      </c>
      <c r="AO39" s="405">
        <f t="shared" si="92"/>
        <v>-0.168040238104792</v>
      </c>
      <c r="AP39" s="403">
        <v>8993.5855</v>
      </c>
      <c r="AQ39" s="405">
        <f t="shared" si="93"/>
        <v>-0.0628773762191415</v>
      </c>
      <c r="AR39" s="403">
        <v>8330.8369</v>
      </c>
      <c r="AS39" s="405">
        <f t="shared" si="94"/>
        <v>-0.0224045191400478</v>
      </c>
      <c r="AT39" s="489">
        <f t="shared" si="97"/>
        <v>106282.2641</v>
      </c>
      <c r="AU39" s="404">
        <f t="shared" si="98"/>
        <v>0.080282993597024</v>
      </c>
      <c r="AV39" s="360"/>
      <c r="AW39" s="488">
        <v>6827.7155</v>
      </c>
      <c r="AX39" s="404">
        <v>-0.156823652482169</v>
      </c>
      <c r="AY39" s="403">
        <v>7273.4122</v>
      </c>
      <c r="AZ39" s="405">
        <f t="shared" si="65"/>
        <v>-0.19353887949038</v>
      </c>
      <c r="BA39" s="403">
        <v>6992.3083</v>
      </c>
      <c r="BB39" s="405">
        <f t="shared" si="66"/>
        <v>-0.201279187734922</v>
      </c>
      <c r="BC39" s="403">
        <v>7303.4141</v>
      </c>
      <c r="BD39" s="405">
        <f t="shared" si="67"/>
        <v>-0.15422184854502</v>
      </c>
      <c r="BE39" s="406">
        <v>7190.1009</v>
      </c>
      <c r="BF39" s="405">
        <f t="shared" si="68"/>
        <v>-0.125846778458069</v>
      </c>
      <c r="BG39" s="403">
        <v>6705.5898</v>
      </c>
      <c r="BH39" s="405">
        <f t="shared" si="69"/>
        <v>-0.108844149195313</v>
      </c>
      <c r="BI39" s="403">
        <v>6622.5097</v>
      </c>
      <c r="BJ39" s="405">
        <f t="shared" si="70"/>
        <v>-0.129999541123873</v>
      </c>
      <c r="BK39" s="163">
        <v>9086.3998</v>
      </c>
      <c r="BL39" s="402">
        <f t="shared" si="71"/>
        <v>0.170943275990437</v>
      </c>
      <c r="BM39" s="163">
        <v>10672.3079</v>
      </c>
      <c r="BN39" s="402">
        <f t="shared" si="72"/>
        <v>0.498196243137039</v>
      </c>
      <c r="BO39" s="163">
        <v>11591.1821</v>
      </c>
      <c r="BP39" s="402">
        <f t="shared" si="73"/>
        <v>0.591188239278829</v>
      </c>
      <c r="BQ39" s="163">
        <v>9597.021</v>
      </c>
      <c r="BR39" s="402">
        <f t="shared" si="74"/>
        <v>0.419943440005124</v>
      </c>
      <c r="BS39" s="163">
        <v>8521.7629</v>
      </c>
      <c r="BT39" s="402">
        <f t="shared" si="75"/>
        <v>0.344177736093754</v>
      </c>
      <c r="BU39" s="109">
        <f t="shared" si="99"/>
        <v>98383.7242</v>
      </c>
      <c r="BV39" s="359">
        <f t="shared" si="100"/>
        <v>0.0563629846387608</v>
      </c>
      <c r="BW39" s="429"/>
      <c r="BX39" s="93">
        <v>8097.6127</v>
      </c>
      <c r="BY39" s="402">
        <f t="shared" si="101"/>
        <v>-0.321410364421404</v>
      </c>
      <c r="BZ39" s="93">
        <v>9018.9248</v>
      </c>
      <c r="CA39" s="591">
        <f t="shared" si="102"/>
        <v>-0.295180032167379</v>
      </c>
      <c r="CB39" s="592">
        <v>8754.3835</v>
      </c>
      <c r="CC39" s="359">
        <f t="shared" si="103"/>
        <v>-0.0171445966876732</v>
      </c>
      <c r="CD39" s="109">
        <v>8635.1416</v>
      </c>
      <c r="CE39" s="359">
        <v>0.245173370425</v>
      </c>
      <c r="CF39" s="163">
        <v>8225.2181</v>
      </c>
      <c r="CG39" s="359">
        <f t="shared" si="104"/>
        <v>0.184523113127037</v>
      </c>
      <c r="CH39" s="163">
        <v>7524.5983</v>
      </c>
      <c r="CI39" s="359">
        <f t="shared" si="105"/>
        <v>-0.0251855999958337</v>
      </c>
      <c r="CJ39" s="163">
        <v>7612.0761</v>
      </c>
      <c r="CK39" s="359">
        <f t="shared" si="106"/>
        <v>-0.0521993617201766</v>
      </c>
      <c r="CL39" s="109">
        <v>7759.8975</v>
      </c>
      <c r="CM39" s="359">
        <f t="shared" si="107"/>
        <v>0.00158168099429257</v>
      </c>
      <c r="CN39" s="109">
        <f>6518.1528+CN41</f>
        <v>7123.4379</v>
      </c>
      <c r="CO39" s="359">
        <f t="shared" si="108"/>
        <v>-0.0824440395149528</v>
      </c>
      <c r="CP39" s="109">
        <f>6621.5284+CP41</f>
        <v>7284.6077</v>
      </c>
      <c r="CQ39" s="359">
        <f t="shared" si="109"/>
        <v>0.0447867025868907</v>
      </c>
      <c r="CR39" s="109">
        <v>6758.7347</v>
      </c>
      <c r="CS39" s="359">
        <f t="shared" si="110"/>
        <v>0.629248769198753</v>
      </c>
      <c r="CT39" s="109">
        <v>6339.759</v>
      </c>
      <c r="CU39" s="359">
        <f t="shared" si="111"/>
        <v>0.34928195571765</v>
      </c>
      <c r="CV39" s="109">
        <f t="shared" si="112"/>
        <v>93134.3919</v>
      </c>
      <c r="CW39" s="359">
        <f t="shared" si="113"/>
        <v>-0.015448346877296</v>
      </c>
      <c r="CX39" s="408">
        <f t="shared" si="114"/>
        <v>-0.0619902568449683</v>
      </c>
      <c r="CY39" s="408"/>
      <c r="CZ39" s="490">
        <v>11933.0038</v>
      </c>
      <c r="DA39" s="93">
        <v>12796.0688</v>
      </c>
      <c r="DB39" s="93">
        <v>8907.092</v>
      </c>
      <c r="DC39" s="107">
        <v>6934.891</v>
      </c>
      <c r="DD39" s="163">
        <v>6943.9068</v>
      </c>
      <c r="DE39" s="163">
        <v>7719.0061</v>
      </c>
      <c r="DF39" s="109">
        <v>8031.3051</v>
      </c>
      <c r="DG39" s="109">
        <v>7747.6432</v>
      </c>
      <c r="DH39" s="109">
        <v>7763.4915</v>
      </c>
      <c r="DI39" s="109">
        <v>6972.3396</v>
      </c>
      <c r="DJ39" s="109">
        <v>4148.3749</v>
      </c>
      <c r="DK39" s="109">
        <v>4698.6169</v>
      </c>
      <c r="DL39" s="109">
        <v>94595.7397</v>
      </c>
      <c r="DM39" s="410">
        <v>-0.324406653758029</v>
      </c>
      <c r="DN39" s="411"/>
      <c r="DO39" s="412">
        <v>9835.7445</v>
      </c>
      <c r="DP39" s="87">
        <f>(DO39-DX39)/DX39</f>
        <v>-0.299595941242463</v>
      </c>
      <c r="DQ39" s="424">
        <v>12229.2263</v>
      </c>
      <c r="DR39" s="304"/>
      <c r="DS39" s="424">
        <v>13338.1853</v>
      </c>
      <c r="DT39" s="104">
        <f t="shared" si="115"/>
        <v>0.965254943273906</v>
      </c>
      <c r="DU39" s="103"/>
      <c r="DV39" s="424">
        <v>13442.9753</v>
      </c>
      <c r="DW39" s="104">
        <f t="shared" si="116"/>
        <v>0.54614785978434</v>
      </c>
      <c r="DX39" s="424">
        <v>14042.9576</v>
      </c>
      <c r="DY39" s="104">
        <f t="shared" si="117"/>
        <v>0.778039706254748</v>
      </c>
      <c r="DZ39" s="424">
        <v>12434.7222</v>
      </c>
      <c r="EA39" s="104">
        <f t="shared" si="118"/>
        <v>0.553563493253373</v>
      </c>
      <c r="EB39" s="424">
        <v>11895.2987</v>
      </c>
      <c r="EC39" s="104">
        <f t="shared" si="119"/>
        <v>0.407727656804734</v>
      </c>
      <c r="ED39" s="424">
        <v>8891.2552</v>
      </c>
      <c r="EE39" s="104">
        <f t="shared" si="120"/>
        <v>-0.0328256261414976</v>
      </c>
      <c r="EF39" s="424">
        <v>10393.7435</v>
      </c>
      <c r="EG39" s="104">
        <f t="shared" si="121"/>
        <v>0.185953236461132</v>
      </c>
      <c r="EH39" s="424">
        <v>11402.7587</v>
      </c>
      <c r="EI39" s="104">
        <f t="shared" si="122"/>
        <v>0.175631930484257</v>
      </c>
      <c r="EJ39" s="424">
        <v>11087.3647</v>
      </c>
      <c r="EK39" s="104">
        <f t="shared" si="123"/>
        <v>0.336951561307167</v>
      </c>
      <c r="EL39" s="424">
        <v>11024.5237</v>
      </c>
      <c r="EM39" s="104">
        <f t="shared" si="124"/>
        <v>0.242750164298106</v>
      </c>
      <c r="EN39" s="93">
        <f t="shared" si="64"/>
        <v>140018.7557</v>
      </c>
      <c r="EO39" s="104">
        <v>0.208111098241946</v>
      </c>
      <c r="EP39" s="515">
        <v>31245</v>
      </c>
      <c r="EQ39" s="104">
        <f>(EP39-FP39)/FP39</f>
        <v>-0.11437074829932</v>
      </c>
      <c r="ER39" s="424">
        <v>0</v>
      </c>
      <c r="ES39" s="104">
        <f>(ER39-FQ39)/FQ39</f>
        <v>-1</v>
      </c>
      <c r="ET39" s="424">
        <v>6787</v>
      </c>
      <c r="EU39" s="104">
        <f>(ET39-FR39)/FR39</f>
        <v>-0.805530085959885</v>
      </c>
      <c r="EV39" s="424">
        <v>8694.4953</v>
      </c>
      <c r="EW39" s="104">
        <f>(EV39-FS39)/FS39</f>
        <v>-0.717362482933489</v>
      </c>
      <c r="EX39" s="424">
        <v>7898</v>
      </c>
      <c r="EY39" s="104">
        <f>(EX39-FT39)/FT39</f>
        <v>-0.74622453569822</v>
      </c>
      <c r="EZ39" s="424">
        <v>8004</v>
      </c>
      <c r="FA39" s="104">
        <f>(EZ39-FU39)/FU39</f>
        <v>-0.743387515629509</v>
      </c>
      <c r="FB39" s="424">
        <v>8450</v>
      </c>
      <c r="FC39" s="104">
        <f>(FB39-FV39)/FV39</f>
        <v>-0.719138469720136</v>
      </c>
      <c r="FD39" s="424">
        <v>9193.0219</v>
      </c>
      <c r="FE39" s="104">
        <f>(FD39-FW39)/FW39</f>
        <v>-0.704499456766313</v>
      </c>
      <c r="FF39" s="424">
        <v>8764.0416</v>
      </c>
      <c r="FG39" s="104">
        <f>(FF39-FX39)/FX39</f>
        <v>-0.747862665784401</v>
      </c>
      <c r="FH39" s="424">
        <v>9699.2591</v>
      </c>
      <c r="FI39" s="104">
        <f>(FH39-FY39)/FY39</f>
        <v>-0.681039853332895</v>
      </c>
      <c r="FJ39" s="424">
        <v>8293.019</v>
      </c>
      <c r="FK39" s="104">
        <f>(FJ39-GA39)/GA39</f>
        <v>-0.744484255607592</v>
      </c>
      <c r="FL39" s="424">
        <v>8871.07</v>
      </c>
      <c r="FM39" s="456">
        <f>(FL39-GC39)/GC39</f>
        <v>-0.790672974822436</v>
      </c>
      <c r="FN39" s="95">
        <v>115898.9069</v>
      </c>
      <c r="FO39" s="96">
        <f>(FN39-(FP39+FQ39+FR39+FS39+FT39+FU39+FV39+FW39+FX39+FY39+GA39+GC39))/(FP39+FQ39+FR39+FS39+FT39+FU39+FV39+FW39+FX39+FY39+GA39+GC39)</f>
        <v>-0.710450350385862</v>
      </c>
      <c r="FP39" s="490">
        <v>35280</v>
      </c>
      <c r="FQ39" s="490">
        <v>35819</v>
      </c>
      <c r="FR39" s="490">
        <v>34900</v>
      </c>
      <c r="FS39" s="490">
        <v>30762</v>
      </c>
      <c r="FT39" s="557">
        <v>31122</v>
      </c>
      <c r="FU39" s="557">
        <v>31191</v>
      </c>
      <c r="FV39" s="584">
        <v>30086</v>
      </c>
      <c r="FW39" s="480">
        <v>31110</v>
      </c>
      <c r="FX39" s="478">
        <v>34759</v>
      </c>
      <c r="FY39" s="478">
        <v>30409</v>
      </c>
      <c r="FZ39" s="491">
        <f>(FY39-HA39)/HA39</f>
        <v>-0.131394784198349</v>
      </c>
      <c r="GA39" s="478">
        <v>32456</v>
      </c>
      <c r="GB39" s="491">
        <f>(GA39-HC39)/HC39</f>
        <v>-0.100393591662509</v>
      </c>
      <c r="GC39" s="478">
        <v>42379</v>
      </c>
      <c r="GD39" s="491">
        <f>(GC39-HE39)/HE39</f>
        <v>-0.13649700476792</v>
      </c>
      <c r="GE39" s="492">
        <f>FP39+FQ39+FR39+FS39+FT39+FU39+FV39+FW39+FX39+FY39+GA39+GC39</f>
        <v>400273</v>
      </c>
      <c r="GF39" s="481">
        <f>(GE39-HG39)/HG39</f>
        <v>-0.129358666217142</v>
      </c>
      <c r="GG39" s="415"/>
      <c r="GH39" s="31"/>
      <c r="GI39" s="417">
        <v>38096</v>
      </c>
      <c r="GJ39" s="104">
        <f>(GI39-HL39)/HL39</f>
        <v>0</v>
      </c>
      <c r="GK39" s="103">
        <v>36997</v>
      </c>
      <c r="GL39" s="104">
        <f>(GK39-HN39)/HN39</f>
        <v>-0.0772895051875499</v>
      </c>
      <c r="GM39" s="103">
        <v>44086</v>
      </c>
      <c r="GN39" s="104">
        <f>(GM39-HP39)/HP39</f>
        <v>0.0472729000380084</v>
      </c>
      <c r="GO39" s="424">
        <v>35173</v>
      </c>
      <c r="GP39" s="104">
        <f>(GO39-HR39)/HR39</f>
        <v>0</v>
      </c>
      <c r="GQ39" s="424">
        <v>36758</v>
      </c>
      <c r="GR39" s="104">
        <f>(GQ39-HT39)/HT39</f>
        <v>-0.102653614237238</v>
      </c>
      <c r="GS39" s="103">
        <v>36895</v>
      </c>
      <c r="GT39" s="104">
        <f>(GS39-HW39)/HW39</f>
        <v>-0.0231406709205963</v>
      </c>
      <c r="GU39" s="103">
        <v>36058</v>
      </c>
      <c r="GV39" s="104">
        <f>(GU39-HY39)/HY39</f>
        <v>-0.0437826513564401</v>
      </c>
      <c r="GW39" s="103">
        <v>36208</v>
      </c>
      <c r="GX39" s="104">
        <f>(GW39-IA39)/IA39</f>
        <v>-0.0670205364734984</v>
      </c>
      <c r="GY39" s="103">
        <v>39309</v>
      </c>
      <c r="GZ39" s="104">
        <f>(GY39-IC39)/IC39</f>
        <v>-0.0396276660721702</v>
      </c>
      <c r="HA39" s="103">
        <v>35009</v>
      </c>
      <c r="HB39" s="104">
        <f>(HA39-IE39)/IE39</f>
        <v>-0.0320984241083771</v>
      </c>
      <c r="HC39" s="103">
        <v>36078</v>
      </c>
      <c r="HD39" s="104">
        <f>(HC39-IG39)/IG39</f>
        <v>-0.0560933493799383</v>
      </c>
      <c r="HE39" s="103">
        <v>49078</v>
      </c>
      <c r="HF39" s="104">
        <f>(HE39-II39)/II39</f>
        <v>-0.127067695919747</v>
      </c>
      <c r="HG39" s="414">
        <f>GI39+GK39+GM39+GO39+GQ39+GS39+GU39+GW39+GY39+HA39+HC39+HE39</f>
        <v>459745</v>
      </c>
      <c r="HH39" s="103">
        <f>HE39+HC39+HA39+GY39+GW39+GU39+GS39+GQ39+GO39+GM39+GK39+GI39</f>
        <v>459745</v>
      </c>
      <c r="HI39" s="394"/>
      <c r="HJ39" s="585"/>
      <c r="HK39" s="493"/>
      <c r="HL39" s="417">
        <v>38096</v>
      </c>
      <c r="HM39" s="418">
        <f>(HL39-IN39)/IN39</f>
        <v>0.0179563916203506</v>
      </c>
      <c r="HN39" s="421">
        <v>40096</v>
      </c>
      <c r="HO39" s="418">
        <f>(HN39-IP39)/IP39</f>
        <v>-0.163952542796972</v>
      </c>
      <c r="HP39" s="421">
        <v>42096</v>
      </c>
      <c r="HQ39" s="423">
        <f>(HP39-IR39)/IR39</f>
        <v>-0.0449440751412301</v>
      </c>
      <c r="HR39" s="439">
        <v>35173</v>
      </c>
      <c r="HS39" s="304">
        <f>(HR39-IT39)/IT39</f>
        <v>0.0027368361034296</v>
      </c>
      <c r="HT39" s="439">
        <v>40963</v>
      </c>
      <c r="HU39" s="304">
        <f>(HT39-IV39)/IV39</f>
        <v>-0.0329107349434568</v>
      </c>
      <c r="HV39" s="423"/>
      <c r="HW39" s="439">
        <v>37769</v>
      </c>
      <c r="HX39" s="304">
        <f>(HW39-IX39)/IX39</f>
        <v>-0.0257184130423567</v>
      </c>
      <c r="HY39" s="439">
        <v>37709</v>
      </c>
      <c r="HZ39" s="304">
        <f>(HY39-IZ39)/IZ39</f>
        <v>-0.0472472775967053</v>
      </c>
      <c r="IA39" s="439">
        <v>38809</v>
      </c>
      <c r="IB39" s="422">
        <f>(IA39-JB39)/JB39</f>
        <v>-0.0107820146818923</v>
      </c>
      <c r="IC39" s="439">
        <v>40931</v>
      </c>
      <c r="ID39" s="425">
        <f>(IC39-JD39)/JD39</f>
        <v>-0.0272820171582024</v>
      </c>
      <c r="IE39" s="439">
        <v>36170</v>
      </c>
      <c r="IF39" s="500">
        <f>(IE39-JF39)/JF39</f>
        <v>-0.0113974909120726</v>
      </c>
      <c r="IG39" s="439">
        <v>38222</v>
      </c>
      <c r="IH39" s="309">
        <f>(IG39-JH39)/JH39</f>
        <v>0.175482839217616</v>
      </c>
      <c r="II39" s="439">
        <v>56222</v>
      </c>
      <c r="IJ39" s="309">
        <f>(II39-JJ39)/JJ39</f>
        <v>0.035205302890812</v>
      </c>
      <c r="IK39" s="391">
        <f>HL39+HN39+HP39+HR39+HT39+HW39+HY39+IA39+IC39+IE39+IG39+II39</f>
        <v>482256</v>
      </c>
      <c r="IL39" s="104">
        <f>IK39/JL39-1</f>
        <v>-0.0157297591858977</v>
      </c>
      <c r="IM39" s="318"/>
      <c r="IN39" s="518">
        <v>37424</v>
      </c>
      <c r="IO39" s="304">
        <f>IN39/JP39-1</f>
        <v>0.0738416886357267</v>
      </c>
      <c r="IP39" s="103">
        <v>47959</v>
      </c>
      <c r="IQ39" s="304">
        <f>IP39/JQ39-1</f>
        <v>0.0167016418704935</v>
      </c>
      <c r="IR39" s="424">
        <v>44077</v>
      </c>
      <c r="IS39" s="394">
        <f>(IR39-JR39)/JR39</f>
        <v>0.0259441518150792</v>
      </c>
      <c r="IT39" s="564">
        <v>35077</v>
      </c>
      <c r="IU39" s="304">
        <f>(IT39-JS39)/JS39</f>
        <v>0.00765246854562706</v>
      </c>
      <c r="IV39" s="564">
        <v>42357</v>
      </c>
      <c r="IW39" s="304">
        <f>(IV39-JT39)/JT39</f>
        <v>0.0101742459838753</v>
      </c>
      <c r="IX39" s="564">
        <v>38766</v>
      </c>
      <c r="IY39" s="104">
        <f>(IX39-JU39)/JU39</f>
        <v>0.0234303533125984</v>
      </c>
      <c r="IZ39" s="564">
        <v>39579</v>
      </c>
      <c r="JA39" s="104">
        <f>(IZ39-JV39)/JV39</f>
        <v>-0.0118264399613871</v>
      </c>
      <c r="JB39" s="103">
        <v>39232</v>
      </c>
      <c r="JC39" s="104">
        <f>(JB39-JW39)/JW39</f>
        <v>0.00791273337600725</v>
      </c>
      <c r="JD39" s="103">
        <v>42079</v>
      </c>
      <c r="JE39" s="394">
        <f>(JD39-JX39)/JX39</f>
        <v>-0.0267367866013171</v>
      </c>
      <c r="JF39" s="103">
        <v>36587</v>
      </c>
      <c r="JG39" s="418">
        <f>(JF39-JY39)/JY39</f>
        <v>-0.016449221049919</v>
      </c>
      <c r="JH39" s="103">
        <v>32516</v>
      </c>
      <c r="JI39" s="418">
        <f>(JH39-JZ39)/JZ39</f>
        <v>-0.00715747430447019</v>
      </c>
      <c r="JJ39" s="103">
        <v>54310</v>
      </c>
      <c r="JK39" s="418">
        <f>(JJ39-KA39)/KA39</f>
        <v>-0.0709196710944541</v>
      </c>
      <c r="JL39" s="399">
        <f t="shared" si="126"/>
        <v>489963</v>
      </c>
      <c r="JM39" s="398">
        <f>JL39/JO39-1</f>
        <v>-0.000524704892122752</v>
      </c>
      <c r="JN39" s="400"/>
      <c r="JO39" s="518">
        <v>490220.220948149</v>
      </c>
      <c r="JP39" s="424">
        <v>34850.5747132482</v>
      </c>
      <c r="JQ39" s="424">
        <v>47171.1641104136</v>
      </c>
      <c r="JR39" s="424">
        <v>42962.3775543921</v>
      </c>
      <c r="JS39" s="424">
        <v>34810.6128798827</v>
      </c>
      <c r="JT39" s="424">
        <v>41930.3898989681</v>
      </c>
      <c r="JU39" s="424">
        <v>37878.4935140176</v>
      </c>
      <c r="JV39" s="424">
        <v>40052.6806226767</v>
      </c>
      <c r="JW39" s="424">
        <v>38924.0047286557</v>
      </c>
      <c r="JX39" s="424">
        <v>43234.9640063535</v>
      </c>
      <c r="JY39" s="424">
        <v>37198.8928106547</v>
      </c>
      <c r="JZ39" s="424">
        <v>32750.4102196077</v>
      </c>
      <c r="KA39" s="424">
        <v>58455.6558892782</v>
      </c>
    </row>
    <row r="40" ht="28.8" customHeight="1" spans="1:287">
      <c r="A40" s="401"/>
      <c r="B40" s="141" t="s">
        <v>211</v>
      </c>
      <c r="C40" s="163">
        <v>3.6318</v>
      </c>
      <c r="D40" s="402">
        <f t="shared" si="76"/>
        <v>-0.823332830673289</v>
      </c>
      <c r="E40" s="163">
        <v>1.8462</v>
      </c>
      <c r="F40" s="359">
        <f t="shared" si="77"/>
        <v>-0.881351901955618</v>
      </c>
      <c r="G40" s="163">
        <v>1.1319</v>
      </c>
      <c r="H40" s="359">
        <f t="shared" si="78"/>
        <v>-0.920705864221315</v>
      </c>
      <c r="I40" s="163">
        <v>0.9238</v>
      </c>
      <c r="J40" s="359">
        <f t="shared" si="79"/>
        <v>-0.924890645072117</v>
      </c>
      <c r="K40" s="163">
        <v>1.0415</v>
      </c>
      <c r="L40" s="359">
        <f t="shared" si="80"/>
        <v>-0.915321072572646</v>
      </c>
      <c r="M40" s="163">
        <v>0.9698</v>
      </c>
      <c r="N40" s="402">
        <f t="shared" si="81"/>
        <v>-0.914842425998613</v>
      </c>
      <c r="O40" s="163">
        <v>0.5886</v>
      </c>
      <c r="P40" s="402">
        <f t="shared" si="82"/>
        <v>-0.944695005073853</v>
      </c>
      <c r="Q40" s="127"/>
      <c r="R40" s="127"/>
      <c r="S40" s="109">
        <f t="shared" si="95"/>
        <v>10.1336</v>
      </c>
      <c r="T40" s="359">
        <f t="shared" si="96"/>
        <v>-0.905518711930715</v>
      </c>
      <c r="U40" s="359"/>
      <c r="V40" s="163">
        <v>20.5573</v>
      </c>
      <c r="W40" s="402">
        <f t="shared" si="83"/>
        <v>-0.00426247136152047</v>
      </c>
      <c r="X40" s="163">
        <v>15.5603</v>
      </c>
      <c r="Y40" s="402">
        <f t="shared" si="84"/>
        <v>-0.204784488485951</v>
      </c>
      <c r="Z40" s="163">
        <v>14.2747</v>
      </c>
      <c r="AA40" s="402">
        <f t="shared" si="85"/>
        <v>-0.0728004936507421</v>
      </c>
      <c r="AB40" s="163">
        <v>12.2994</v>
      </c>
      <c r="AC40" s="402">
        <f t="shared" si="86"/>
        <v>-0.214517447504215</v>
      </c>
      <c r="AD40" s="163">
        <v>12.2994</v>
      </c>
      <c r="AE40" s="402">
        <f t="shared" si="87"/>
        <v>-0.298347899504826</v>
      </c>
      <c r="AF40" s="163">
        <v>11.3883</v>
      </c>
      <c r="AG40" s="402">
        <f t="shared" si="88"/>
        <v>-0.287652467629949</v>
      </c>
      <c r="AH40" s="163">
        <v>10.6428</v>
      </c>
      <c r="AI40" s="402">
        <f t="shared" si="89"/>
        <v>-0.27300795792206</v>
      </c>
      <c r="AJ40" s="163">
        <v>10.2329</v>
      </c>
      <c r="AK40" s="402">
        <f t="shared" si="90"/>
        <v>-0.359711419936552</v>
      </c>
      <c r="AL40" s="163">
        <v>10.4666</v>
      </c>
      <c r="AM40" s="402">
        <f t="shared" si="91"/>
        <v>-0.579455324209867</v>
      </c>
      <c r="AN40" s="163">
        <v>6.2611</v>
      </c>
      <c r="AO40" s="402">
        <f t="shared" si="92"/>
        <v>-0.772522988944234</v>
      </c>
      <c r="AP40" s="163">
        <v>6.2611</v>
      </c>
      <c r="AQ40" s="402">
        <f t="shared" si="93"/>
        <v>-0.754956753160346</v>
      </c>
      <c r="AR40" s="163">
        <v>6.2152</v>
      </c>
      <c r="AS40" s="402">
        <f t="shared" si="94"/>
        <v>-0.707063708647352</v>
      </c>
      <c r="AT40" s="93">
        <f t="shared" si="97"/>
        <v>136.4591</v>
      </c>
      <c r="AU40" s="402">
        <f t="shared" si="98"/>
        <v>-0.41829372992725</v>
      </c>
      <c r="AV40" s="360"/>
      <c r="AW40" s="93">
        <v>20.6453</v>
      </c>
      <c r="AX40" s="402">
        <v>-0.302935764328522</v>
      </c>
      <c r="AY40" s="163">
        <v>19.5674</v>
      </c>
      <c r="AZ40" s="402">
        <f t="shared" si="65"/>
        <v>-0.246012816017324</v>
      </c>
      <c r="BA40" s="93">
        <v>15.3955</v>
      </c>
      <c r="BB40" s="402">
        <f t="shared" si="66"/>
        <v>-0.423201567551974</v>
      </c>
      <c r="BC40" s="93">
        <v>15.6584</v>
      </c>
      <c r="BD40" s="402">
        <f t="shared" si="67"/>
        <v>-0.446419922434304</v>
      </c>
      <c r="BE40" s="93">
        <v>17.5292</v>
      </c>
      <c r="BF40" s="402">
        <f t="shared" si="68"/>
        <v>-0.422060302335933</v>
      </c>
      <c r="BG40" s="93">
        <v>15.987</v>
      </c>
      <c r="BH40" s="402">
        <f t="shared" si="69"/>
        <v>-0.498675112497844</v>
      </c>
      <c r="BI40" s="93">
        <v>14.6395</v>
      </c>
      <c r="BJ40" s="402">
        <f t="shared" si="70"/>
        <v>-0.466303808912739</v>
      </c>
      <c r="BK40" s="93">
        <v>15.9817</v>
      </c>
      <c r="BL40" s="402">
        <f t="shared" si="71"/>
        <v>-0.343777844387598</v>
      </c>
      <c r="BM40" s="93">
        <v>24.8882</v>
      </c>
      <c r="BN40" s="402">
        <f t="shared" si="72"/>
        <v>0.062962330229777</v>
      </c>
      <c r="BO40" s="93">
        <v>27.5241</v>
      </c>
      <c r="BP40" s="402">
        <f t="shared" si="73"/>
        <v>0.30020170909486</v>
      </c>
      <c r="BQ40" s="93">
        <v>25.551</v>
      </c>
      <c r="BR40" s="402">
        <f t="shared" si="74"/>
        <v>0.409834799209861</v>
      </c>
      <c r="BS40" s="93">
        <v>21.2169</v>
      </c>
      <c r="BT40" s="402">
        <f t="shared" si="75"/>
        <v>0.366416785810889</v>
      </c>
      <c r="BU40" s="163">
        <f t="shared" si="99"/>
        <v>234.5842</v>
      </c>
      <c r="BV40" s="402">
        <f t="shared" si="100"/>
        <v>-0.225244464054999</v>
      </c>
      <c r="BW40" s="429"/>
      <c r="BX40" s="93">
        <v>29.6175</v>
      </c>
      <c r="BY40" s="402">
        <f t="shared" si="101"/>
        <v>-0.0704181588206308</v>
      </c>
      <c r="BZ40" s="93">
        <v>25.9519</v>
      </c>
      <c r="CA40" s="402">
        <f t="shared" si="102"/>
        <v>-0.210845443460227</v>
      </c>
      <c r="CB40" s="163">
        <v>26.6913</v>
      </c>
      <c r="CC40" s="402">
        <f t="shared" si="103"/>
        <v>-0.043689337780851</v>
      </c>
      <c r="CD40" s="163">
        <v>28.2857</v>
      </c>
      <c r="CE40" s="402">
        <v>0.0906885994339433</v>
      </c>
      <c r="CF40" s="163">
        <v>30.3305</v>
      </c>
      <c r="CG40" s="402">
        <f t="shared" si="104"/>
        <v>0.168733334360887</v>
      </c>
      <c r="CH40" s="163">
        <v>31.8895</v>
      </c>
      <c r="CI40" s="402">
        <f t="shared" si="105"/>
        <v>0.273857744329666</v>
      </c>
      <c r="CJ40" s="163">
        <v>27.4304</v>
      </c>
      <c r="CK40" s="402">
        <f t="shared" si="106"/>
        <v>-0.00837608135318724</v>
      </c>
      <c r="CL40" s="163">
        <v>24.3541</v>
      </c>
      <c r="CM40" s="402">
        <f t="shared" si="107"/>
        <v>-0.0509738058311446</v>
      </c>
      <c r="CN40" s="163">
        <v>23.414</v>
      </c>
      <c r="CO40" s="402">
        <f t="shared" si="108"/>
        <v>-0.129917763219014</v>
      </c>
      <c r="CP40" s="163">
        <v>21.1691</v>
      </c>
      <c r="CQ40" s="402">
        <f t="shared" si="109"/>
        <v>-0.184291648363505</v>
      </c>
      <c r="CR40" s="163">
        <v>18.1234</v>
      </c>
      <c r="CS40" s="402">
        <f t="shared" si="110"/>
        <v>-0.112893909876749</v>
      </c>
      <c r="CT40" s="163">
        <v>15.5274</v>
      </c>
      <c r="CU40" s="402">
        <f t="shared" si="111"/>
        <v>-0.217704108622818</v>
      </c>
      <c r="CV40" s="163">
        <f t="shared" si="112"/>
        <v>302.7848</v>
      </c>
      <c r="CW40" s="402">
        <f t="shared" si="113"/>
        <v>-0.0419451641115145</v>
      </c>
      <c r="CX40" s="408">
        <f t="shared" si="114"/>
        <v>-0.143240230861759</v>
      </c>
      <c r="CY40" s="408"/>
      <c r="CZ40" s="490">
        <v>31.8611</v>
      </c>
      <c r="DA40" s="93">
        <v>32.8857</v>
      </c>
      <c r="DB40" s="93">
        <v>27.9107</v>
      </c>
      <c r="DC40" s="107">
        <v>25.9338</v>
      </c>
      <c r="DD40" s="163">
        <v>25.9516</v>
      </c>
      <c r="DE40" s="163">
        <v>25.0338</v>
      </c>
      <c r="DF40" s="109">
        <v>27.6621</v>
      </c>
      <c r="DG40" s="109">
        <v>25.6622</v>
      </c>
      <c r="DH40" s="109">
        <v>26.9101</v>
      </c>
      <c r="DI40" s="109">
        <v>25.9518</v>
      </c>
      <c r="DJ40" s="109">
        <v>20.4298</v>
      </c>
      <c r="DK40" s="109">
        <v>19.8485</v>
      </c>
      <c r="DL40" s="109">
        <v>316.0412</v>
      </c>
      <c r="DM40" s="410">
        <v>-0.229714144211861</v>
      </c>
      <c r="DN40" s="411"/>
      <c r="DO40" s="412">
        <v>31.341</v>
      </c>
      <c r="DP40" s="87"/>
      <c r="DQ40" s="424">
        <v>49.402</v>
      </c>
      <c r="DR40" s="304"/>
      <c r="DS40" s="424">
        <v>42.398</v>
      </c>
      <c r="DT40" s="104" t="e">
        <f t="shared" si="115"/>
        <v>#DIV/0!</v>
      </c>
      <c r="DU40" s="103"/>
      <c r="DV40" s="424">
        <v>32.544</v>
      </c>
      <c r="DW40" s="104" t="e">
        <f t="shared" si="116"/>
        <v>#DIV/0!</v>
      </c>
      <c r="DX40" s="424">
        <v>43.8686</v>
      </c>
      <c r="DY40" s="104" t="e">
        <f t="shared" si="117"/>
        <v>#DIV/0!</v>
      </c>
      <c r="DZ40" s="424">
        <v>34.733</v>
      </c>
      <c r="EA40" s="104" t="e">
        <f t="shared" si="118"/>
        <v>#DIV/0!</v>
      </c>
      <c r="EB40" s="424">
        <v>36.1002</v>
      </c>
      <c r="EC40" s="104" t="e">
        <f t="shared" si="119"/>
        <v>#DIV/0!</v>
      </c>
      <c r="ED40" s="424">
        <v>25.1084</v>
      </c>
      <c r="EE40" s="104" t="e">
        <f t="shared" si="120"/>
        <v>#DIV/0!</v>
      </c>
      <c r="EF40" s="424">
        <v>30.7422</v>
      </c>
      <c r="EG40" s="104" t="e">
        <f t="shared" si="121"/>
        <v>#DIV/0!</v>
      </c>
      <c r="EH40" s="424">
        <v>28.4426</v>
      </c>
      <c r="EI40" s="104" t="e">
        <f t="shared" si="122"/>
        <v>#DIV/0!</v>
      </c>
      <c r="EJ40" s="424">
        <v>27.5623</v>
      </c>
      <c r="EK40" s="104" t="e">
        <f t="shared" si="123"/>
        <v>#DIV/0!</v>
      </c>
      <c r="EL40" s="424">
        <v>28.0485</v>
      </c>
      <c r="EM40" s="104" t="e">
        <f t="shared" si="124"/>
        <v>#DIV/0!</v>
      </c>
      <c r="EN40" s="93">
        <f t="shared" ref="EN40:EN57" si="127">DO40+DQ40+DS40+DV40+DX40+DZ40+EB40+ED40+EF40+EH40+EJ40+EL40</f>
        <v>410.2908</v>
      </c>
      <c r="EO40" s="104" t="e">
        <v>#DIV/0!</v>
      </c>
      <c r="EP40" s="104"/>
      <c r="FN40" s="95">
        <v>0</v>
      </c>
      <c r="FO40" s="96"/>
      <c r="FP40" s="431"/>
      <c r="JL40" s="399">
        <v>0</v>
      </c>
      <c r="JM40" s="398"/>
      <c r="JN40" s="400"/>
      <c r="JO40" s="311"/>
      <c r="JP40" s="144"/>
      <c r="JQ40" s="144"/>
      <c r="JR40" s="144"/>
      <c r="JS40" s="144"/>
      <c r="JT40" s="144"/>
      <c r="JU40" s="144"/>
      <c r="JV40" s="144"/>
      <c r="JW40" s="144"/>
      <c r="JX40" s="144"/>
      <c r="JY40" s="144"/>
      <c r="JZ40" s="144"/>
      <c r="KA40" s="144"/>
    </row>
    <row r="41" ht="28.8" customHeight="1" spans="1:287">
      <c r="A41" s="28"/>
      <c r="B41" s="446" t="s">
        <v>212</v>
      </c>
      <c r="C41" s="163">
        <v>139.6202</v>
      </c>
      <c r="D41" s="402">
        <f t="shared" si="76"/>
        <v>-0.80289301589771</v>
      </c>
      <c r="E41" s="163">
        <v>54.9222</v>
      </c>
      <c r="F41" s="359">
        <f t="shared" si="77"/>
        <v>-0.876843517254896</v>
      </c>
      <c r="G41" s="163">
        <v>34.3465</v>
      </c>
      <c r="H41" s="359">
        <f t="shared" si="78"/>
        <v>-0.917898866912812</v>
      </c>
      <c r="I41" s="163">
        <v>30.2418</v>
      </c>
      <c r="J41" s="359">
        <f t="shared" si="79"/>
        <v>-0.916731486868505</v>
      </c>
      <c r="K41" s="163">
        <v>34.0819</v>
      </c>
      <c r="L41" s="359">
        <f t="shared" si="80"/>
        <v>-0.906158061434958</v>
      </c>
      <c r="M41" s="163">
        <v>28.8824</v>
      </c>
      <c r="N41" s="402">
        <f t="shared" si="81"/>
        <v>-0.909624277257688</v>
      </c>
      <c r="O41" s="163">
        <v>17.5992</v>
      </c>
      <c r="P41" s="402">
        <f t="shared" si="82"/>
        <v>-0.94192959567303</v>
      </c>
      <c r="Q41" s="127"/>
      <c r="R41" s="127"/>
      <c r="S41" s="109">
        <f t="shared" si="95"/>
        <v>339.6942</v>
      </c>
      <c r="T41" s="359">
        <f t="shared" si="96"/>
        <v>-0.894143208641128</v>
      </c>
      <c r="U41" s="359"/>
      <c r="V41" s="163">
        <v>708.3473</v>
      </c>
      <c r="W41" s="402">
        <f t="shared" si="83"/>
        <v>0.316537679494757</v>
      </c>
      <c r="X41" s="163">
        <v>445.9546</v>
      </c>
      <c r="Y41" s="402">
        <f t="shared" si="84"/>
        <v>-0.139538267046595</v>
      </c>
      <c r="Z41" s="163">
        <v>418.3438</v>
      </c>
      <c r="AA41" s="402">
        <f t="shared" si="85"/>
        <v>-0.132172492686057</v>
      </c>
      <c r="AB41" s="163">
        <v>363.1841</v>
      </c>
      <c r="AC41" s="402">
        <f t="shared" si="86"/>
        <v>-0.26115206733901</v>
      </c>
      <c r="AD41" s="163">
        <v>363.1841</v>
      </c>
      <c r="AE41" s="402">
        <f t="shared" si="87"/>
        <v>-0.292040861478962</v>
      </c>
      <c r="AF41" s="163">
        <v>319.5814</v>
      </c>
      <c r="AG41" s="402">
        <f t="shared" si="88"/>
        <v>-0.288736251568777</v>
      </c>
      <c r="AH41" s="163">
        <v>303.0666</v>
      </c>
      <c r="AI41" s="402">
        <f t="shared" si="89"/>
        <v>-0.194415522726711</v>
      </c>
      <c r="AJ41" s="163">
        <v>287.3358</v>
      </c>
      <c r="AK41" s="402">
        <f t="shared" si="90"/>
        <v>-0.368433199525845</v>
      </c>
      <c r="AL41" s="163">
        <v>293.9957</v>
      </c>
      <c r="AM41" s="402">
        <f t="shared" si="91"/>
        <v>-0.635903983751668</v>
      </c>
      <c r="AN41" s="163">
        <v>178.4537</v>
      </c>
      <c r="AO41" s="402">
        <f t="shared" si="92"/>
        <v>-0.797599898739667</v>
      </c>
      <c r="AP41" s="163">
        <v>178.4537</v>
      </c>
      <c r="AQ41" s="402">
        <f t="shared" si="93"/>
        <v>-0.769336491335013</v>
      </c>
      <c r="AR41" s="163">
        <v>203.9378</v>
      </c>
      <c r="AS41" s="402">
        <f t="shared" si="94"/>
        <v>-0.671409004173573</v>
      </c>
      <c r="AT41" s="93">
        <f t="shared" si="97"/>
        <v>4063.8386</v>
      </c>
      <c r="AU41" s="402">
        <f t="shared" si="98"/>
        <v>-0.411622671432114</v>
      </c>
      <c r="AV41" s="360"/>
      <c r="AW41" s="93">
        <v>538.038</v>
      </c>
      <c r="AX41" s="402">
        <v>-0.389651789175207</v>
      </c>
      <c r="AY41" s="163">
        <v>518.2736</v>
      </c>
      <c r="AZ41" s="402">
        <f t="shared" si="65"/>
        <v>-0.335918297004305</v>
      </c>
      <c r="BA41" s="93">
        <v>482.0587</v>
      </c>
      <c r="BB41" s="402">
        <f t="shared" si="66"/>
        <v>-0.377898790263727</v>
      </c>
      <c r="BC41" s="93">
        <v>491.5546</v>
      </c>
      <c r="BD41" s="402">
        <f t="shared" si="67"/>
        <v>-0.43092122057602</v>
      </c>
      <c r="BE41" s="93">
        <v>513.0015</v>
      </c>
      <c r="BF41" s="402">
        <f t="shared" si="68"/>
        <v>-0.447389001457467</v>
      </c>
      <c r="BG41" s="93">
        <v>449.3149</v>
      </c>
      <c r="BH41" s="402">
        <f t="shared" si="69"/>
        <v>-0.439544121121314</v>
      </c>
      <c r="BI41" s="93">
        <v>376.2071</v>
      </c>
      <c r="BJ41" s="402">
        <f t="shared" si="70"/>
        <v>-0.447293235082084</v>
      </c>
      <c r="BK41" s="93">
        <v>454.9571</v>
      </c>
      <c r="BL41" s="402">
        <f t="shared" si="71"/>
        <v>-0.326143919312122</v>
      </c>
      <c r="BM41" s="93">
        <v>807.4675</v>
      </c>
      <c r="BN41" s="402">
        <f t="shared" si="72"/>
        <v>0.334028377701681</v>
      </c>
      <c r="BO41" s="93">
        <v>881.6878</v>
      </c>
      <c r="BP41" s="402">
        <f t="shared" si="73"/>
        <v>0.329686811215491</v>
      </c>
      <c r="BQ41" s="93">
        <v>773.6538</v>
      </c>
      <c r="BR41" s="402">
        <f t="shared" si="74"/>
        <v>0.412710994878548</v>
      </c>
      <c r="BS41" s="93">
        <v>620.6433</v>
      </c>
      <c r="BT41" s="402">
        <f t="shared" si="75"/>
        <v>0.46863027244906</v>
      </c>
      <c r="BU41" s="163">
        <f t="shared" si="99"/>
        <v>6906.8579</v>
      </c>
      <c r="BV41" s="402">
        <f t="shared" si="100"/>
        <v>-0.199210600420523</v>
      </c>
      <c r="BW41" s="429"/>
      <c r="BX41" s="93">
        <v>881.5263</v>
      </c>
      <c r="BY41" s="402">
        <f t="shared" si="101"/>
        <v>-0.142292077467153</v>
      </c>
      <c r="BZ41" s="93">
        <v>780.4365</v>
      </c>
      <c r="CA41" s="402">
        <f t="shared" si="102"/>
        <v>-0.173289451787519</v>
      </c>
      <c r="CB41" s="163">
        <v>774.8879</v>
      </c>
      <c r="CC41" s="402">
        <f t="shared" si="103"/>
        <v>-0.0416739221414996</v>
      </c>
      <c r="CD41" s="163">
        <v>863.7725</v>
      </c>
      <c r="CE41" s="402">
        <v>0.209768117127433</v>
      </c>
      <c r="CF41" s="163">
        <v>928.323</v>
      </c>
      <c r="CG41" s="402">
        <f t="shared" si="104"/>
        <v>0.274317368956048</v>
      </c>
      <c r="CH41" s="163">
        <v>801.6954</v>
      </c>
      <c r="CI41" s="402">
        <f t="shared" si="105"/>
        <v>0.0869970033854788</v>
      </c>
      <c r="CJ41" s="163">
        <v>680.6631</v>
      </c>
      <c r="CK41" s="402">
        <f t="shared" si="106"/>
        <v>-0.221253996623993</v>
      </c>
      <c r="CL41" s="163">
        <v>675.1547</v>
      </c>
      <c r="CM41" s="402">
        <f t="shared" si="107"/>
        <v>-0.00930395264648187</v>
      </c>
      <c r="CN41" s="163">
        <v>605.2851</v>
      </c>
      <c r="CO41" s="402">
        <f t="shared" si="108"/>
        <v>-0.214151515265609</v>
      </c>
      <c r="CP41" s="163">
        <v>663.0793</v>
      </c>
      <c r="CQ41" s="402">
        <f t="shared" si="109"/>
        <v>-0.0205371600392684</v>
      </c>
      <c r="CR41" s="163">
        <v>547.6377</v>
      </c>
      <c r="CS41" s="402">
        <f t="shared" si="110"/>
        <v>0.198301793280913</v>
      </c>
      <c r="CT41" s="163">
        <v>422.6001</v>
      </c>
      <c r="CU41" s="402">
        <f t="shared" si="111"/>
        <v>-0.195965712302673</v>
      </c>
      <c r="CV41" s="163">
        <f t="shared" si="112"/>
        <v>8625.0616</v>
      </c>
      <c r="CW41" s="402">
        <f t="shared" si="113"/>
        <v>-0.03585013365984</v>
      </c>
      <c r="CX41" s="408">
        <f t="shared" si="114"/>
        <v>-0.228321753597314</v>
      </c>
      <c r="CY41" s="408"/>
      <c r="CZ41" s="477">
        <v>1027.7698</v>
      </c>
      <c r="DA41" s="473">
        <v>944.0263</v>
      </c>
      <c r="DB41" s="473">
        <v>808.5848</v>
      </c>
      <c r="DC41" s="473">
        <v>713.9984</v>
      </c>
      <c r="DD41" s="448">
        <v>728.4865</v>
      </c>
      <c r="DE41" s="448">
        <v>737.5323</v>
      </c>
      <c r="DF41" s="448">
        <v>874.0502</v>
      </c>
      <c r="DG41" s="448">
        <v>681.4953</v>
      </c>
      <c r="DH41" s="448">
        <v>770.2313</v>
      </c>
      <c r="DI41" s="448">
        <v>676.9826</v>
      </c>
      <c r="DJ41" s="448">
        <v>457.0115</v>
      </c>
      <c r="DK41" s="448">
        <v>525.5996</v>
      </c>
      <c r="DL41" s="448">
        <v>8945.7686</v>
      </c>
      <c r="DM41" s="449">
        <v>-0.27088938424486</v>
      </c>
      <c r="DN41" s="411"/>
      <c r="DO41" s="412">
        <v>1096.935</v>
      </c>
      <c r="DP41" s="87"/>
      <c r="DQ41" s="424">
        <v>1729.07</v>
      </c>
      <c r="DR41" s="304"/>
      <c r="DS41" s="424">
        <v>1483.93</v>
      </c>
      <c r="DT41" s="104" t="e">
        <f t="shared" si="115"/>
        <v>#DIV/0!</v>
      </c>
      <c r="DU41" s="103"/>
      <c r="DV41" s="424">
        <v>911.232</v>
      </c>
      <c r="DW41" s="104" t="e">
        <f t="shared" si="116"/>
        <v>#DIV/0!</v>
      </c>
      <c r="DX41" s="424">
        <v>1267.1661</v>
      </c>
      <c r="DY41" s="104" t="e">
        <f t="shared" si="117"/>
        <v>#DIV/0!</v>
      </c>
      <c r="DZ41" s="424">
        <v>941.5374</v>
      </c>
      <c r="EA41" s="104" t="e">
        <f t="shared" si="118"/>
        <v>#DIV/0!</v>
      </c>
      <c r="EB41" s="424">
        <v>849.664</v>
      </c>
      <c r="EC41" s="104" t="e">
        <f t="shared" si="119"/>
        <v>#DIV/0!</v>
      </c>
      <c r="ED41" s="424">
        <v>680.7145</v>
      </c>
      <c r="EE41" s="104" t="e">
        <f t="shared" si="120"/>
        <v>#DIV/0!</v>
      </c>
      <c r="EF41" s="424">
        <v>835.1998</v>
      </c>
      <c r="EG41" s="104" t="e">
        <f t="shared" si="121"/>
        <v>#DIV/0!</v>
      </c>
      <c r="EH41" s="424">
        <v>847.0324</v>
      </c>
      <c r="EI41" s="104" t="e">
        <f t="shared" si="122"/>
        <v>#DIV/0!</v>
      </c>
      <c r="EJ41" s="424">
        <v>801.5624</v>
      </c>
      <c r="EK41" s="104" t="e">
        <f t="shared" si="123"/>
        <v>#DIV/0!</v>
      </c>
      <c r="EL41" s="424">
        <v>825.3822</v>
      </c>
      <c r="EM41" s="104" t="e">
        <f t="shared" si="124"/>
        <v>#DIV/0!</v>
      </c>
      <c r="EN41" s="93">
        <f t="shared" si="127"/>
        <v>12269.4258</v>
      </c>
      <c r="EO41" s="104" t="e">
        <v>#DIV/0!</v>
      </c>
      <c r="EP41" s="104"/>
      <c r="FN41" s="95">
        <v>0</v>
      </c>
      <c r="FO41" s="96"/>
      <c r="FP41" s="431"/>
      <c r="JL41" s="399">
        <v>0</v>
      </c>
      <c r="JM41" s="398"/>
      <c r="JN41" s="400"/>
      <c r="JO41" s="311"/>
      <c r="JP41" s="144"/>
      <c r="JQ41" s="144"/>
      <c r="JR41" s="144"/>
      <c r="JS41" s="144"/>
      <c r="JT41" s="144"/>
      <c r="JU41" s="144"/>
      <c r="JV41" s="144"/>
      <c r="JW41" s="144"/>
      <c r="JX41" s="144"/>
      <c r="JY41" s="144"/>
      <c r="JZ41" s="144"/>
      <c r="KA41" s="144"/>
    </row>
    <row r="42" s="286" customFormat="1" ht="28.8" hidden="1" customHeight="1" spans="1:287">
      <c r="A42" s="298" t="s">
        <v>103</v>
      </c>
      <c r="B42" s="164" t="s">
        <v>206</v>
      </c>
      <c r="C42" s="109">
        <v>39.3094</v>
      </c>
      <c r="D42" s="359">
        <f t="shared" si="76"/>
        <v>-0.334743632920454</v>
      </c>
      <c r="E42" s="163">
        <v>56.4335</v>
      </c>
      <c r="F42" s="359">
        <f t="shared" si="77"/>
        <v>-0.132214185103857</v>
      </c>
      <c r="G42" s="163">
        <v>56.8116</v>
      </c>
      <c r="H42" s="359">
        <f t="shared" si="78"/>
        <v>-0.130239885362079</v>
      </c>
      <c r="I42" s="163">
        <v>58.6924</v>
      </c>
      <c r="J42" s="359">
        <f t="shared" si="79"/>
        <v>-0.0248520474112867</v>
      </c>
      <c r="K42" s="163">
        <v>58.0517</v>
      </c>
      <c r="L42" s="359">
        <f t="shared" si="80"/>
        <v>0.0156515988389894</v>
      </c>
      <c r="M42" s="163">
        <v>52.6658</v>
      </c>
      <c r="N42" s="359">
        <f t="shared" si="81"/>
        <v>-0.108051715786728</v>
      </c>
      <c r="O42" s="163">
        <v>49.2438</v>
      </c>
      <c r="P42" s="359">
        <f t="shared" si="82"/>
        <v>-0.0795981496191767</v>
      </c>
      <c r="Q42" s="127"/>
      <c r="R42" s="127"/>
      <c r="S42" s="109">
        <f t="shared" si="95"/>
        <v>371.2082</v>
      </c>
      <c r="T42" s="359">
        <f t="shared" si="96"/>
        <v>-0.215140269434364</v>
      </c>
      <c r="U42" s="359"/>
      <c r="V42" s="109">
        <v>59.0891</v>
      </c>
      <c r="W42" s="359">
        <f t="shared" si="83"/>
        <v>0.11612905663086</v>
      </c>
      <c r="X42" s="109">
        <v>65.0316</v>
      </c>
      <c r="Y42" s="359">
        <f t="shared" si="84"/>
        <v>0.315010322870263</v>
      </c>
      <c r="Z42" s="109">
        <v>65.3187</v>
      </c>
      <c r="AA42" s="359">
        <f t="shared" si="85"/>
        <v>0.24766630947401</v>
      </c>
      <c r="AB42" s="109">
        <v>60.1882</v>
      </c>
      <c r="AC42" s="359">
        <f t="shared" si="86"/>
        <v>0.236809064587653</v>
      </c>
      <c r="AD42" s="163">
        <v>57.1571</v>
      </c>
      <c r="AE42" s="359">
        <f t="shared" si="87"/>
        <v>0.0872611271110029</v>
      </c>
      <c r="AF42" s="163">
        <v>59.0458</v>
      </c>
      <c r="AG42" s="359">
        <f t="shared" si="88"/>
        <v>0.13754373256477</v>
      </c>
      <c r="AH42" s="163">
        <v>53.5025</v>
      </c>
      <c r="AI42" s="359">
        <f t="shared" si="89"/>
        <v>0.102862360963383</v>
      </c>
      <c r="AJ42" s="163">
        <v>53.6282</v>
      </c>
      <c r="AK42" s="359">
        <f t="shared" si="90"/>
        <v>0.0152202967579254</v>
      </c>
      <c r="AL42" s="163">
        <v>53.3324</v>
      </c>
      <c r="AM42" s="359">
        <f t="shared" si="91"/>
        <v>-0.0428362216255798</v>
      </c>
      <c r="AN42" s="163">
        <v>52.6712</v>
      </c>
      <c r="AO42" s="359">
        <f t="shared" si="92"/>
        <v>-0.131738066821841</v>
      </c>
      <c r="AP42" s="163">
        <v>48.952</v>
      </c>
      <c r="AQ42" s="359">
        <f t="shared" si="93"/>
        <v>-0.184435092349164</v>
      </c>
      <c r="AR42" s="163">
        <v>41.0177</v>
      </c>
      <c r="AS42" s="359">
        <f t="shared" si="94"/>
        <v>-0.285796619967474</v>
      </c>
      <c r="AT42" s="107">
        <f t="shared" si="97"/>
        <v>668.9345</v>
      </c>
      <c r="AU42" s="359">
        <f t="shared" si="98"/>
        <v>0.0402371724176109</v>
      </c>
      <c r="AV42" s="360"/>
      <c r="AW42" s="450">
        <v>52.9411</v>
      </c>
      <c r="AX42" s="361">
        <v>-0.034675472441232</v>
      </c>
      <c r="AY42" s="108">
        <v>49.4533</v>
      </c>
      <c r="AZ42" s="361">
        <f t="shared" si="65"/>
        <v>-0.0980448302905397</v>
      </c>
      <c r="BA42" s="108">
        <v>52.3527</v>
      </c>
      <c r="BB42" s="361">
        <f t="shared" si="66"/>
        <v>-0.0550292952885668</v>
      </c>
      <c r="BC42" s="108">
        <v>48.6641</v>
      </c>
      <c r="BD42" s="361">
        <f t="shared" si="67"/>
        <v>-0.219379759160607</v>
      </c>
      <c r="BE42" s="362">
        <v>52.5698</v>
      </c>
      <c r="BF42" s="361">
        <f t="shared" si="68"/>
        <v>-0.0870604171370022</v>
      </c>
      <c r="BG42" s="108">
        <v>51.9064</v>
      </c>
      <c r="BH42" s="361">
        <f t="shared" si="69"/>
        <v>-0.0755596715880961</v>
      </c>
      <c r="BI42" s="108">
        <v>48.5124</v>
      </c>
      <c r="BJ42" s="361">
        <f t="shared" si="70"/>
        <v>-0.0847269598816676</v>
      </c>
      <c r="BK42" s="108">
        <v>52.8242</v>
      </c>
      <c r="BL42" s="361">
        <f t="shared" si="71"/>
        <v>-0.0293219943439808</v>
      </c>
      <c r="BM42" s="108">
        <v>55.7192</v>
      </c>
      <c r="BN42" s="361">
        <f t="shared" si="72"/>
        <v>0.00776817381899342</v>
      </c>
      <c r="BO42" s="108">
        <v>60.6628</v>
      </c>
      <c r="BP42" s="361">
        <f t="shared" si="73"/>
        <v>0.0197845203653302</v>
      </c>
      <c r="BQ42" s="108">
        <v>60.0222</v>
      </c>
      <c r="BR42" s="361">
        <f t="shared" si="74"/>
        <v>0.0310116667353753</v>
      </c>
      <c r="BS42" s="108">
        <v>57.4314</v>
      </c>
      <c r="BT42" s="361">
        <f t="shared" si="75"/>
        <v>0.0303056397229382</v>
      </c>
      <c r="BU42" s="108">
        <f t="shared" si="99"/>
        <v>643.0596</v>
      </c>
      <c r="BV42" s="361">
        <f t="shared" si="100"/>
        <v>-0.0505586051503381</v>
      </c>
      <c r="BW42" s="364"/>
      <c r="BX42" s="450">
        <v>54.8428</v>
      </c>
      <c r="BY42" s="361">
        <f t="shared" si="101"/>
        <v>-0.172458957025592</v>
      </c>
      <c r="BZ42" s="450">
        <v>54.829</v>
      </c>
      <c r="CA42" s="361">
        <f t="shared" si="102"/>
        <v>-0.220111061168987</v>
      </c>
      <c r="CB42" s="108">
        <v>55.4014</v>
      </c>
      <c r="CC42" s="361">
        <f t="shared" si="103"/>
        <v>-0.100404645302087</v>
      </c>
      <c r="CD42" s="108">
        <v>62.3403</v>
      </c>
      <c r="CE42" s="361">
        <v>0.040720454215365</v>
      </c>
      <c r="CF42" s="108">
        <v>57.583</v>
      </c>
      <c r="CG42" s="361">
        <f t="shared" si="104"/>
        <v>-0.0830498866213152</v>
      </c>
      <c r="CH42" s="108">
        <v>56.149</v>
      </c>
      <c r="CI42" s="361">
        <f t="shared" si="105"/>
        <v>-0.0883866673160911</v>
      </c>
      <c r="CJ42" s="108">
        <v>53.0032</v>
      </c>
      <c r="CK42" s="361">
        <f t="shared" si="106"/>
        <v>-0.13053777093186</v>
      </c>
      <c r="CL42" s="108">
        <v>54.4199</v>
      </c>
      <c r="CM42" s="361">
        <f t="shared" si="107"/>
        <v>-0.101602327055654</v>
      </c>
      <c r="CN42" s="108">
        <v>55.2897</v>
      </c>
      <c r="CO42" s="361">
        <f t="shared" si="108"/>
        <v>-0.0942395682993595</v>
      </c>
      <c r="CP42" s="108">
        <v>59.4859</v>
      </c>
      <c r="CQ42" s="361">
        <f t="shared" si="109"/>
        <v>0.0401742311377831</v>
      </c>
      <c r="CR42" s="108">
        <v>58.2168</v>
      </c>
      <c r="CS42" s="361">
        <f t="shared" si="110"/>
        <v>0.224338375086226</v>
      </c>
      <c r="CT42" s="108">
        <v>55.7421</v>
      </c>
      <c r="CU42" s="361">
        <f t="shared" si="111"/>
        <v>0.360602118202433</v>
      </c>
      <c r="CV42" s="108">
        <f t="shared" si="112"/>
        <v>677.3031</v>
      </c>
      <c r="CW42" s="361">
        <f t="shared" si="113"/>
        <v>-0.0470414381011715</v>
      </c>
      <c r="CX42" s="365">
        <f t="shared" si="114"/>
        <v>-0.0425083481057015</v>
      </c>
      <c r="CY42" s="365"/>
      <c r="CZ42" s="453">
        <v>66.272</v>
      </c>
      <c r="DA42" s="450">
        <v>70.3036</v>
      </c>
      <c r="DB42" s="450">
        <v>61.5848</v>
      </c>
      <c r="DC42" s="450">
        <v>59.9011</v>
      </c>
      <c r="DD42" s="108">
        <v>62.7984</v>
      </c>
      <c r="DE42" s="108">
        <v>61.593</v>
      </c>
      <c r="DF42" s="108">
        <v>60.9609</v>
      </c>
      <c r="DG42" s="108">
        <v>60.5744</v>
      </c>
      <c r="DH42" s="108">
        <v>61.0423</v>
      </c>
      <c r="DI42" s="108">
        <v>57.1884</v>
      </c>
      <c r="DJ42" s="108">
        <v>47.5496</v>
      </c>
      <c r="DK42" s="108">
        <v>40.9687</v>
      </c>
      <c r="DL42" s="108">
        <v>710.7372</v>
      </c>
      <c r="DM42" s="368">
        <v>-0.251690320662395</v>
      </c>
      <c r="DN42" s="369"/>
      <c r="DO42" s="370">
        <v>79.9779</v>
      </c>
      <c r="DP42" s="371">
        <f>(DO42-DX42)/DX42</f>
        <v>-0.219781088120811</v>
      </c>
      <c r="DQ42" s="388">
        <v>90.2991</v>
      </c>
      <c r="DR42" s="532"/>
      <c r="DS42" s="388">
        <v>90.5514</v>
      </c>
      <c r="DT42" s="373">
        <f t="shared" si="115"/>
        <v>15.7288144986976</v>
      </c>
      <c r="DU42" s="374"/>
      <c r="DV42" s="388">
        <v>94.4988</v>
      </c>
      <c r="DW42" s="373">
        <f t="shared" si="116"/>
        <v>5.29992</v>
      </c>
      <c r="DX42" s="388">
        <v>102.507</v>
      </c>
      <c r="DY42" s="373">
        <f t="shared" si="117"/>
        <v>0.494462846545913</v>
      </c>
      <c r="DZ42" s="388">
        <v>93.6941</v>
      </c>
      <c r="EA42" s="373">
        <f t="shared" si="118"/>
        <v>0.306360017567954</v>
      </c>
      <c r="EB42" s="388">
        <v>88.2697</v>
      </c>
      <c r="EC42" s="373">
        <f t="shared" si="119"/>
        <v>0.148044532885924</v>
      </c>
      <c r="ED42" s="388">
        <v>55.42</v>
      </c>
      <c r="EE42" s="373">
        <f t="shared" si="120"/>
        <v>-0.286954037999097</v>
      </c>
      <c r="EF42" s="388">
        <v>63.3182</v>
      </c>
      <c r="EG42" s="373">
        <f t="shared" si="121"/>
        <v>-0.190178007310603</v>
      </c>
      <c r="EH42" s="388">
        <v>71.284</v>
      </c>
      <c r="EI42" s="373">
        <f t="shared" si="122"/>
        <v>-0.199666771081388</v>
      </c>
      <c r="EJ42" s="388">
        <v>61.0187</v>
      </c>
      <c r="EK42" s="373">
        <f t="shared" si="123"/>
        <v>-0.265217380833109</v>
      </c>
      <c r="EL42" s="388">
        <v>58.9513</v>
      </c>
      <c r="EM42" s="373">
        <f t="shared" si="124"/>
        <v>-0.228060779543211</v>
      </c>
      <c r="EN42" s="372">
        <f t="shared" si="127"/>
        <v>949.7902</v>
      </c>
      <c r="EO42" s="373">
        <v>-0.0660883526112333</v>
      </c>
      <c r="EP42" s="533">
        <v>375</v>
      </c>
      <c r="EQ42" s="373">
        <f>(EP42-FP42)/FP42</f>
        <v>-0.166666666666667</v>
      </c>
      <c r="ER42" s="388">
        <v>0</v>
      </c>
      <c r="ES42" s="373">
        <f>(ER42-FQ42)/FQ42</f>
        <v>-1</v>
      </c>
      <c r="ET42" s="388">
        <v>5.4129</v>
      </c>
      <c r="EU42" s="373">
        <f>(ET42-FR42)/FR42</f>
        <v>-0.988953265306122</v>
      </c>
      <c r="EV42" s="388">
        <v>15</v>
      </c>
      <c r="EW42" s="373">
        <f>(EV42-FS42)/FS42</f>
        <v>-0.962686567164179</v>
      </c>
      <c r="EX42" s="388">
        <v>68.5912</v>
      </c>
      <c r="EY42" s="373">
        <f>(EX42-FT42)/FT42</f>
        <v>-0.833516504854369</v>
      </c>
      <c r="EZ42" s="388">
        <v>71.7215</v>
      </c>
      <c r="FA42" s="373">
        <f>(EZ42-FU42)/FU42</f>
        <v>-0.819795226130653</v>
      </c>
      <c r="FB42" s="388">
        <v>76.887</v>
      </c>
      <c r="FC42" s="373">
        <f>(FB42-FV42)/FV42</f>
        <v>-0.798196850393701</v>
      </c>
      <c r="FD42" s="388">
        <v>77.7229</v>
      </c>
      <c r="FE42" s="373">
        <f>(FD42-FW42)/FW42</f>
        <v>-0.788220980926431</v>
      </c>
      <c r="FF42" s="388">
        <v>78.1878</v>
      </c>
      <c r="FG42" s="373">
        <f>(FF42-FX42)/FX42</f>
        <v>-0.789817741935484</v>
      </c>
      <c r="FH42" s="388">
        <v>89.0679</v>
      </c>
      <c r="FI42" s="373">
        <f>(FH42-FY42)/FY42</f>
        <v>-0.766837958115183</v>
      </c>
      <c r="FJ42" s="388">
        <v>83.0432</v>
      </c>
      <c r="FK42" s="373">
        <f>(FJ42-GA42)/GA42</f>
        <v>-0.767385994397759</v>
      </c>
      <c r="FL42" s="388">
        <v>76.3678</v>
      </c>
      <c r="FM42" s="456">
        <f>(FL42-GC42)/GC42</f>
        <v>-0.804185128205128</v>
      </c>
      <c r="FN42" s="359">
        <v>1017.0022</v>
      </c>
      <c r="FO42" s="358">
        <f>(FN42-(FP42+FQ42+FR42+FS42+FT42+FU42+FV42+FW42+FX42+FY42+GA42+GC42))/(FP42+FQ42+FR42+FS42+FT42+FU42+FV42+FW42+FX42+FY42+GA42+GC42)</f>
        <v>-0.797046058670924</v>
      </c>
      <c r="FP42" s="512">
        <v>450</v>
      </c>
      <c r="FQ42" s="512">
        <v>610</v>
      </c>
      <c r="FR42" s="512">
        <v>490</v>
      </c>
      <c r="FS42" s="512">
        <v>402</v>
      </c>
      <c r="FT42" s="512">
        <v>412</v>
      </c>
      <c r="FU42" s="512">
        <v>398</v>
      </c>
      <c r="FV42" s="596">
        <v>381</v>
      </c>
      <c r="FW42" s="459">
        <v>367</v>
      </c>
      <c r="FX42" s="459">
        <v>372</v>
      </c>
      <c r="FY42" s="459">
        <v>382</v>
      </c>
      <c r="FZ42" s="368">
        <f>(FY42-HA42)/HA42</f>
        <v>-0.111627906976744</v>
      </c>
      <c r="GA42" s="459">
        <v>357</v>
      </c>
      <c r="GB42" s="368">
        <f>(GA42-HC42)/HC42</f>
        <v>-0.129268292682927</v>
      </c>
      <c r="GC42" s="459">
        <v>390</v>
      </c>
      <c r="GD42" s="368">
        <f>(GC42-HE42)/HE42</f>
        <v>-0.178947368421053</v>
      </c>
      <c r="GE42" s="455">
        <f>FP42+FQ42+FR42+FS42+FT42+FU42+FV42+FW42+FX42+FY42+GA42+GC42</f>
        <v>5011</v>
      </c>
      <c r="GF42" s="460">
        <f>(GE42-HG42)/HG42</f>
        <v>-0.123951048951049</v>
      </c>
      <c r="GG42" s="317"/>
      <c r="GH42" s="536"/>
      <c r="GI42" s="379">
        <v>509</v>
      </c>
      <c r="GJ42" s="376">
        <f>(GI42-HL42)/HL42</f>
        <v>-0.00391389432485323</v>
      </c>
      <c r="GK42" s="375">
        <v>690</v>
      </c>
      <c r="GL42" s="376">
        <f>(GK42-HN42)/HN42</f>
        <v>-0.0128755364806867</v>
      </c>
      <c r="GM42" s="533">
        <v>557</v>
      </c>
      <c r="GN42" s="376">
        <f>(GM42-HP42)/HP42</f>
        <v>-0.0141592920353982</v>
      </c>
      <c r="GO42" s="533">
        <v>430</v>
      </c>
      <c r="GP42" s="376">
        <f>(GO42-HR42)/HR42</f>
        <v>-0.0337078651685393</v>
      </c>
      <c r="GQ42" s="533">
        <v>429</v>
      </c>
      <c r="GR42" s="376">
        <f>(GQ42-HT42)/HT42</f>
        <v>-0.0272108843537415</v>
      </c>
      <c r="GS42" s="375">
        <v>465</v>
      </c>
      <c r="GT42" s="376">
        <f>(GS42-HW42)/HW42</f>
        <v>-0.0271966527196653</v>
      </c>
      <c r="GU42" s="375">
        <v>455</v>
      </c>
      <c r="GV42" s="376">
        <f>(GU42-HY42)/HY42</f>
        <v>-0.0339702760084926</v>
      </c>
      <c r="GW42" s="375">
        <v>440</v>
      </c>
      <c r="GX42" s="376">
        <f>(GW42-IA42)/IA42</f>
        <v>-0.032967032967033</v>
      </c>
      <c r="GY42" s="375">
        <v>430</v>
      </c>
      <c r="GZ42" s="376">
        <f>(GY42-IC42)/IC42</f>
        <v>-0.0380313199105145</v>
      </c>
      <c r="HA42" s="375">
        <v>430</v>
      </c>
      <c r="HB42" s="376">
        <f>(HA42-IE42)/IE42</f>
        <v>-0.0293453724604966</v>
      </c>
      <c r="HC42" s="375">
        <v>410</v>
      </c>
      <c r="HD42" s="376">
        <f>(HC42-IG42)/IG42</f>
        <v>-0.00726392251815981</v>
      </c>
      <c r="HE42" s="375">
        <v>475</v>
      </c>
      <c r="HF42" s="376">
        <f>(HE42-II42)/II42</f>
        <v>-0.0404040404040404</v>
      </c>
      <c r="HG42" s="375">
        <f>GI42+GK42+GM42+GO42+GQ42+GS42+GU42+GW42+GY42+HA42+HC42+HE42</f>
        <v>5720</v>
      </c>
      <c r="HH42" s="375">
        <f>HE42+HC42+HA42+GY42+GW42+GU42+GS42+GQ42+GO42+GM42+GK42+GI42</f>
        <v>5720</v>
      </c>
      <c r="HI42" s="377"/>
      <c r="HJ42" s="369"/>
      <c r="HK42" s="485"/>
      <c r="HL42" s="379">
        <v>511</v>
      </c>
      <c r="HM42" s="380">
        <f>(HL42-IN42)/IN42</f>
        <v>-0.0133611368551127</v>
      </c>
      <c r="HN42" s="462">
        <v>699</v>
      </c>
      <c r="HO42" s="380">
        <f>(HN42-IP42)/IP42</f>
        <v>-0.0154929577464789</v>
      </c>
      <c r="HP42" s="462">
        <v>565</v>
      </c>
      <c r="HQ42" s="466">
        <f>(HP42-IR42)/IR42</f>
        <v>-0.0087719298245614</v>
      </c>
      <c r="HR42" s="464">
        <v>445</v>
      </c>
      <c r="HS42" s="465">
        <f>(HR42-IT42)/IT42</f>
        <v>-0.00669642857142857</v>
      </c>
      <c r="HT42" s="464">
        <v>441</v>
      </c>
      <c r="HU42" s="465">
        <f>(HT42-IV42)/IV42</f>
        <v>-0.00675675675675676</v>
      </c>
      <c r="HV42" s="466"/>
      <c r="HW42" s="464">
        <v>478</v>
      </c>
      <c r="HX42" s="465">
        <f>(HW42-IX42)/IX42</f>
        <v>0.00209643605870021</v>
      </c>
      <c r="HY42" s="464">
        <v>471</v>
      </c>
      <c r="HZ42" s="465">
        <f>(HY42-IZ42)/IZ42</f>
        <v>-0.0105042016806723</v>
      </c>
      <c r="IA42" s="464">
        <v>455</v>
      </c>
      <c r="IB42" s="390">
        <f>(IA42-JB42)/JB42</f>
        <v>-0.00437636761487965</v>
      </c>
      <c r="IC42" s="464">
        <v>447</v>
      </c>
      <c r="ID42" s="390">
        <f>(IC42-JD42)/JD42</f>
        <v>-0.00666666666666667</v>
      </c>
      <c r="IE42" s="464">
        <v>443</v>
      </c>
      <c r="IF42" s="377">
        <f>(IE42-JF42)/JF42</f>
        <v>-0.00449438202247191</v>
      </c>
      <c r="IG42" s="375">
        <v>413</v>
      </c>
      <c r="IH42" s="377">
        <f>(IG42-JH42)/JH42</f>
        <v>0</v>
      </c>
      <c r="II42" s="375">
        <v>495</v>
      </c>
      <c r="IJ42" s="309">
        <f>(II42-JJ42)/JJ42</f>
        <v>0.0269709543568465</v>
      </c>
      <c r="IK42" s="391">
        <f>HL42+HN42+HP42+HR42+HT42+HW42+HY42+IA42+IC42+IE42+IG42+II42</f>
        <v>5863</v>
      </c>
      <c r="IL42" s="104">
        <f>IK42/JL42-1</f>
        <v>-0.00457052048245143</v>
      </c>
      <c r="IM42" s="318"/>
      <c r="IN42" s="537">
        <v>517.92</v>
      </c>
      <c r="IO42" s="300">
        <f>IN42/JP42-1</f>
        <v>0.0224497257326723</v>
      </c>
      <c r="IP42" s="414">
        <v>710</v>
      </c>
      <c r="IQ42" s="300">
        <f>IP42/JQ42-1</f>
        <v>0.0229425817094371</v>
      </c>
      <c r="IR42" s="560">
        <v>570</v>
      </c>
      <c r="IS42" s="394">
        <f>(IR42-JR42)/JR42</f>
        <v>0.0223115804133034</v>
      </c>
      <c r="IT42" s="513">
        <v>448</v>
      </c>
      <c r="IU42" s="300">
        <f>(IT42-JS42)/JS42</f>
        <v>0.0263557669382912</v>
      </c>
      <c r="IV42" s="513">
        <v>444</v>
      </c>
      <c r="IW42" s="300">
        <f>(IV42-JT42)/JT42</f>
        <v>0.0257959701444349</v>
      </c>
      <c r="IX42" s="513">
        <v>477</v>
      </c>
      <c r="IY42" s="413">
        <f>(IX42-JU42)/JU42</f>
        <v>0.021441088160328</v>
      </c>
      <c r="IZ42" s="513">
        <v>476</v>
      </c>
      <c r="JA42" s="413">
        <f>(IZ42-JV42)/JV42</f>
        <v>0.0249629205436277</v>
      </c>
      <c r="JB42" s="414">
        <v>457</v>
      </c>
      <c r="JC42" s="413">
        <f>(JB42-JW42)/JW42</f>
        <v>0.021416943536712</v>
      </c>
      <c r="JD42" s="414">
        <v>450</v>
      </c>
      <c r="JE42" s="469">
        <f>(JD42-JX42)/JX42</f>
        <v>0.00175113945579661</v>
      </c>
      <c r="JF42" s="414">
        <v>445</v>
      </c>
      <c r="JG42" s="418">
        <f>(JF42-JY42)/JY42</f>
        <v>-0.0323623707907012</v>
      </c>
      <c r="JH42" s="375">
        <v>413</v>
      </c>
      <c r="JI42" s="398">
        <f>(JH42-JZ42)/JZ42</f>
        <v>-0.00490685299859567</v>
      </c>
      <c r="JJ42" s="472">
        <v>482</v>
      </c>
      <c r="JK42" s="398">
        <f>(JJ42-KA42)/KA42</f>
        <v>-0.029619744578661</v>
      </c>
      <c r="JL42" s="399">
        <f t="shared" si="126"/>
        <v>5889.92</v>
      </c>
      <c r="JM42" s="398">
        <f>JL42/JO42-1</f>
        <v>0.0107681881479456</v>
      </c>
      <c r="JN42" s="400"/>
      <c r="JO42" s="528">
        <v>5827.17191643342</v>
      </c>
      <c r="JP42" s="388">
        <v>506.548133336205</v>
      </c>
      <c r="JQ42" s="388">
        <v>694.076102310181</v>
      </c>
      <c r="JR42" s="388">
        <v>557.559956201962</v>
      </c>
      <c r="JS42" s="388">
        <v>436.495817952505</v>
      </c>
      <c r="JT42" s="388">
        <v>432.834611289693</v>
      </c>
      <c r="JU42" s="388">
        <v>466.987284464054</v>
      </c>
      <c r="JV42" s="388">
        <v>464.407043864119</v>
      </c>
      <c r="JW42" s="388">
        <v>447.417680793127</v>
      </c>
      <c r="JX42" s="388">
        <v>449.21336475291</v>
      </c>
      <c r="JY42" s="388">
        <v>459.88290096121</v>
      </c>
      <c r="JZ42" s="388">
        <v>415.036523208432</v>
      </c>
      <c r="KA42" s="388">
        <v>496.712497299026</v>
      </c>
    </row>
    <row r="43" ht="28.8" hidden="1" customHeight="1" spans="1:287">
      <c r="A43" s="28"/>
      <c r="B43" s="141" t="s">
        <v>209</v>
      </c>
      <c r="C43" s="163">
        <v>4330.6841</v>
      </c>
      <c r="D43" s="359">
        <f t="shared" si="76"/>
        <v>-0.180909556305246</v>
      </c>
      <c r="E43" s="163">
        <v>5973.8076</v>
      </c>
      <c r="F43" s="359">
        <f t="shared" si="77"/>
        <v>0.0381535273105909</v>
      </c>
      <c r="G43" s="163">
        <v>6126.3787</v>
      </c>
      <c r="H43" s="359">
        <f t="shared" si="78"/>
        <v>-0.00233761980287239</v>
      </c>
      <c r="I43" s="163">
        <v>6709.8015</v>
      </c>
      <c r="J43" s="359">
        <f t="shared" si="79"/>
        <v>0.0652986250572951</v>
      </c>
      <c r="K43" s="163">
        <v>6422.9636</v>
      </c>
      <c r="L43" s="359">
        <f t="shared" si="80"/>
        <v>0.0791398398593102</v>
      </c>
      <c r="M43" s="163">
        <v>5719.9664</v>
      </c>
      <c r="N43" s="359">
        <f t="shared" si="81"/>
        <v>-0.0154656453152844</v>
      </c>
      <c r="O43" s="163">
        <v>5215.5597</v>
      </c>
      <c r="P43" s="359">
        <f t="shared" si="82"/>
        <v>-1.4609915542696e-5</v>
      </c>
      <c r="Q43" s="127"/>
      <c r="R43" s="127"/>
      <c r="S43" s="109">
        <f t="shared" si="95"/>
        <v>40499.1616</v>
      </c>
      <c r="T43" s="359">
        <f t="shared" si="96"/>
        <v>-0.111290690186881</v>
      </c>
      <c r="U43" s="359"/>
      <c r="V43" s="163">
        <v>5287.1867</v>
      </c>
      <c r="W43" s="359">
        <f t="shared" si="83"/>
        <v>0.418697357674891</v>
      </c>
      <c r="X43" s="93">
        <v>5754.2622</v>
      </c>
      <c r="Y43" s="402">
        <f t="shared" si="84"/>
        <v>0.377105338732374</v>
      </c>
      <c r="Z43" s="93">
        <v>6140.7334</v>
      </c>
      <c r="AA43" s="402">
        <f t="shared" si="85"/>
        <v>0.351694653162898</v>
      </c>
      <c r="AB43" s="93">
        <v>6298.517</v>
      </c>
      <c r="AC43" s="402">
        <f t="shared" si="86"/>
        <v>0.32306859499254</v>
      </c>
      <c r="AD43" s="163">
        <v>5951.9289</v>
      </c>
      <c r="AE43" s="402">
        <f t="shared" si="87"/>
        <v>0.221508973590812</v>
      </c>
      <c r="AF43" s="163">
        <v>5809.819</v>
      </c>
      <c r="AG43" s="402">
        <f t="shared" si="88"/>
        <v>0.308953550505181</v>
      </c>
      <c r="AH43" s="163">
        <v>5215.6359</v>
      </c>
      <c r="AI43" s="402">
        <f t="shared" si="89"/>
        <v>0.174158422408037</v>
      </c>
      <c r="AJ43" s="163">
        <v>5112.6802</v>
      </c>
      <c r="AK43" s="402">
        <f t="shared" si="90"/>
        <v>0.090779363774929</v>
      </c>
      <c r="AL43" s="163">
        <v>5120.6557</v>
      </c>
      <c r="AM43" s="402">
        <f t="shared" si="91"/>
        <v>0.0510662255654803</v>
      </c>
      <c r="AN43" s="163">
        <v>5405.8883</v>
      </c>
      <c r="AO43" s="402">
        <f t="shared" si="92"/>
        <v>-0.0713593329920346</v>
      </c>
      <c r="AP43" s="163">
        <v>5115.4008</v>
      </c>
      <c r="AQ43" s="402">
        <f t="shared" si="93"/>
        <v>-0.128764451796653</v>
      </c>
      <c r="AR43" s="163">
        <v>4543.3814</v>
      </c>
      <c r="AS43" s="402">
        <f t="shared" si="94"/>
        <v>-0.125755927696944</v>
      </c>
      <c r="AT43" s="107">
        <f t="shared" si="97"/>
        <v>65756.0895</v>
      </c>
      <c r="AU43" s="359">
        <f t="shared" si="98"/>
        <v>0.145363362705337</v>
      </c>
      <c r="AV43" s="360"/>
      <c r="AW43" s="473">
        <v>3726.7897</v>
      </c>
      <c r="AX43" s="474">
        <v>-0.00153670751881008</v>
      </c>
      <c r="AY43" s="448">
        <v>4178.52</v>
      </c>
      <c r="AZ43" s="475">
        <f t="shared" si="65"/>
        <v>0.0941669306602881</v>
      </c>
      <c r="BA43" s="448">
        <v>4542.9886</v>
      </c>
      <c r="BB43" s="475">
        <f t="shared" si="66"/>
        <v>0.0380867512743386</v>
      </c>
      <c r="BC43" s="448">
        <v>4760.537</v>
      </c>
      <c r="BD43" s="475">
        <f t="shared" si="67"/>
        <v>-0.0667472362415978</v>
      </c>
      <c r="BE43" s="476">
        <v>4872.6035</v>
      </c>
      <c r="BF43" s="475">
        <f t="shared" si="68"/>
        <v>0.0225486655671854</v>
      </c>
      <c r="BG43" s="163">
        <v>4438.5219</v>
      </c>
      <c r="BH43" s="475">
        <f t="shared" si="69"/>
        <v>0.0762715199592277</v>
      </c>
      <c r="BI43" s="163">
        <v>4442.0206</v>
      </c>
      <c r="BJ43" s="475">
        <f t="shared" si="70"/>
        <v>0.0476870646366854</v>
      </c>
      <c r="BK43" s="163">
        <v>4687.1809</v>
      </c>
      <c r="BL43" s="475">
        <f t="shared" si="71"/>
        <v>0.0436520051205778</v>
      </c>
      <c r="BM43" s="163">
        <v>4871.8678</v>
      </c>
      <c r="BN43" s="475">
        <f t="shared" si="72"/>
        <v>0.0773044880325295</v>
      </c>
      <c r="BO43" s="163">
        <v>5821.2918</v>
      </c>
      <c r="BP43" s="475">
        <f t="shared" si="73"/>
        <v>0.215652932342647</v>
      </c>
      <c r="BQ43" s="163">
        <v>5871.4326</v>
      </c>
      <c r="BR43" s="475">
        <f t="shared" si="74"/>
        <v>0.229466990259364</v>
      </c>
      <c r="BS43" s="163">
        <v>5196.9256</v>
      </c>
      <c r="BT43" s="475">
        <f t="shared" si="75"/>
        <v>0.314332721528868</v>
      </c>
      <c r="BU43" s="109">
        <f t="shared" si="99"/>
        <v>57410.68</v>
      </c>
      <c r="BV43" s="359">
        <f t="shared" si="100"/>
        <v>0.0896062470817889</v>
      </c>
      <c r="BW43" s="429"/>
      <c r="BX43" s="473">
        <v>3732.5255</v>
      </c>
      <c r="BY43" s="475">
        <f t="shared" si="101"/>
        <v>-0.112553441987593</v>
      </c>
      <c r="BZ43" s="473">
        <v>3818.9054</v>
      </c>
      <c r="CA43" s="475">
        <f t="shared" si="102"/>
        <v>-0.253505361963966</v>
      </c>
      <c r="CB43" s="448">
        <v>4376.3092</v>
      </c>
      <c r="CC43" s="359">
        <f t="shared" si="103"/>
        <v>0.179182846839362</v>
      </c>
      <c r="CD43" s="109">
        <v>5101.0157</v>
      </c>
      <c r="CE43" s="359">
        <v>0.496004366759079</v>
      </c>
      <c r="CF43" s="163">
        <v>4765.1556</v>
      </c>
      <c r="CG43" s="359">
        <f t="shared" si="104"/>
        <v>0.207665171838046</v>
      </c>
      <c r="CH43" s="163">
        <v>4123.9797</v>
      </c>
      <c r="CI43" s="359">
        <f t="shared" si="105"/>
        <v>0.0102116884027372</v>
      </c>
      <c r="CJ43" s="163">
        <v>4239.8353</v>
      </c>
      <c r="CK43" s="359">
        <f t="shared" si="106"/>
        <v>-0.0223074072545304</v>
      </c>
      <c r="CL43" s="109">
        <v>4491.1339</v>
      </c>
      <c r="CM43" s="359">
        <f t="shared" si="107"/>
        <v>0.109498917449393</v>
      </c>
      <c r="CN43" s="109">
        <v>4522.2756</v>
      </c>
      <c r="CO43" s="359">
        <f t="shared" si="108"/>
        <v>0.231938027432188</v>
      </c>
      <c r="CP43" s="109">
        <v>4788.6133</v>
      </c>
      <c r="CQ43" s="359">
        <f t="shared" si="109"/>
        <v>0.429924773134521</v>
      </c>
      <c r="CR43" s="109">
        <v>4775.5919</v>
      </c>
      <c r="CS43" s="359">
        <f t="shared" si="110"/>
        <v>0.750983289000143</v>
      </c>
      <c r="CT43" s="109">
        <v>3954.0411</v>
      </c>
      <c r="CU43" s="359">
        <f t="shared" si="111"/>
        <v>0.597645360276395</v>
      </c>
      <c r="CV43" s="109">
        <f t="shared" si="112"/>
        <v>52689.3822</v>
      </c>
      <c r="CW43" s="359">
        <f t="shared" si="113"/>
        <v>0.168867313496154</v>
      </c>
      <c r="CX43" s="408">
        <f t="shared" si="114"/>
        <v>-0.172031198897042</v>
      </c>
      <c r="CY43" s="408"/>
      <c r="CZ43" s="477">
        <v>4205.9158</v>
      </c>
      <c r="DA43" s="473">
        <v>5115.7841</v>
      </c>
      <c r="DB43" s="473">
        <v>3711.3067</v>
      </c>
      <c r="DC43" s="473">
        <v>3409.7599</v>
      </c>
      <c r="DD43" s="448">
        <v>3945.7589</v>
      </c>
      <c r="DE43" s="448">
        <v>4082.2926</v>
      </c>
      <c r="DF43" s="448">
        <v>4336.573</v>
      </c>
      <c r="DG43" s="448">
        <v>4047.8939</v>
      </c>
      <c r="DH43" s="448">
        <v>3670.8629</v>
      </c>
      <c r="DI43" s="448">
        <v>3348.8568</v>
      </c>
      <c r="DJ43" s="448">
        <v>2727.3772</v>
      </c>
      <c r="DK43" s="448">
        <v>2474.9179</v>
      </c>
      <c r="DL43" s="448">
        <v>45077.2997</v>
      </c>
      <c r="DM43" s="449">
        <v>-0.284023273877709</v>
      </c>
      <c r="DN43" s="411"/>
      <c r="DO43" s="412">
        <v>5592.3402</v>
      </c>
      <c r="DP43" s="87">
        <f>(DO43-DX43)/DX43</f>
        <v>-0.259696972637367</v>
      </c>
      <c r="DQ43" s="424">
        <v>5856.5941</v>
      </c>
      <c r="DR43" s="304"/>
      <c r="DS43" s="424">
        <v>6533.8882</v>
      </c>
      <c r="DT43" s="104">
        <f t="shared" si="115"/>
        <v>2.39634483834078</v>
      </c>
      <c r="DU43" s="103"/>
      <c r="DV43" s="424">
        <v>6719.0444</v>
      </c>
      <c r="DW43" s="104">
        <f t="shared" si="116"/>
        <v>6.45029040306038</v>
      </c>
      <c r="DX43" s="424">
        <v>7554.1231</v>
      </c>
      <c r="DY43" s="104">
        <f t="shared" si="117"/>
        <v>0.748043369929261</v>
      </c>
      <c r="DZ43" s="424">
        <v>6458.6032</v>
      </c>
      <c r="EA43" s="104">
        <f t="shared" si="118"/>
        <v>0.37959289918209</v>
      </c>
      <c r="EB43" s="424">
        <v>6142.8114</v>
      </c>
      <c r="EC43" s="104">
        <f t="shared" si="119"/>
        <v>0.238737192978897</v>
      </c>
      <c r="ED43" s="424">
        <v>2988.5226</v>
      </c>
      <c r="EE43" s="104">
        <f t="shared" si="120"/>
        <v>-0.459529060858322</v>
      </c>
      <c r="EF43" s="424">
        <v>3761.2096</v>
      </c>
      <c r="EG43" s="104">
        <f t="shared" si="121"/>
        <v>-0.363494929879107</v>
      </c>
      <c r="EH43" s="424">
        <v>4353.4544</v>
      </c>
      <c r="EI43" s="104">
        <f t="shared" si="122"/>
        <v>-0.334575197512179</v>
      </c>
      <c r="EJ43" s="424">
        <v>3436.8596</v>
      </c>
      <c r="EK43" s="104">
        <f t="shared" si="123"/>
        <v>-0.449529807657025</v>
      </c>
      <c r="EL43" s="424">
        <v>3561.7182</v>
      </c>
      <c r="EM43" s="104">
        <f t="shared" si="124"/>
        <v>-0.332809379291855</v>
      </c>
      <c r="EN43" s="93">
        <f t="shared" si="127"/>
        <v>62959.169</v>
      </c>
      <c r="EO43" s="104">
        <v>-0.0260853443303153</v>
      </c>
      <c r="EP43" s="515">
        <v>18295</v>
      </c>
      <c r="EQ43" s="104">
        <f>(EP43-FP43)/FP43</f>
        <v>-0.155160471022858</v>
      </c>
      <c r="ER43" s="424">
        <v>0</v>
      </c>
      <c r="ES43" s="104">
        <f>(ER43-FQ43)/FQ43</f>
        <v>-1</v>
      </c>
      <c r="ET43" s="424">
        <v>1923.8</v>
      </c>
      <c r="EU43" s="104">
        <f>(ET43-FR43)/FR43</f>
        <v>-0.925867981966013</v>
      </c>
      <c r="EV43" s="424">
        <v>901.85</v>
      </c>
      <c r="EW43" s="104">
        <f>(EV43-FS43)/FS43</f>
        <v>-0.95928626247122</v>
      </c>
      <c r="EX43" s="424">
        <v>4321.4735</v>
      </c>
      <c r="EY43" s="104">
        <f>(EX43-FT43)/FT43</f>
        <v>-0.83944592435726</v>
      </c>
      <c r="EZ43" s="424">
        <v>4681.5283</v>
      </c>
      <c r="FA43" s="104">
        <f>(EZ43-FU43)/FU43</f>
        <v>-0.788634778093819</v>
      </c>
      <c r="FB43" s="424">
        <v>4958.9303</v>
      </c>
      <c r="FC43" s="104">
        <f>(FB43-FV43)/FV43</f>
        <v>-0.785624662804773</v>
      </c>
      <c r="FD43" s="424">
        <v>5529.4788</v>
      </c>
      <c r="FE43" s="104">
        <f>(FD43-FW43)/FW43</f>
        <v>-0.7428508208157</v>
      </c>
      <c r="FF43" s="424">
        <v>5909.1589</v>
      </c>
      <c r="FG43" s="104">
        <f>(FF43-FX43)/FX43</f>
        <v>-0.75486771343234</v>
      </c>
      <c r="FH43" s="424">
        <v>6542.3687</v>
      </c>
      <c r="FI43" s="104">
        <f>(FH43-FY43)/FY43</f>
        <v>-0.694752545140671</v>
      </c>
      <c r="FJ43" s="424">
        <v>6243.4981</v>
      </c>
      <c r="FK43" s="104">
        <f>(FJ43-GA43)/GA43</f>
        <v>-0.673832509664612</v>
      </c>
      <c r="FL43" s="424">
        <v>5338.3817</v>
      </c>
      <c r="FM43" s="456">
        <f>(FL43-GC43)/GC43</f>
        <v>-0.825969626731866</v>
      </c>
      <c r="FN43" s="95">
        <v>64645.4683</v>
      </c>
      <c r="FO43" s="96">
        <f>(FN43-(FP43+FQ43+FR43+FS43+FT43+FU43+FV43+FW43+FX43+FY43+GA43+GC43))/(FP43+FQ43+FR43+FS43+FT43+FU43+FV43+FW43+FX43+FY43+GA43+GC43)</f>
        <v>-0.775118038084769</v>
      </c>
      <c r="FP43" s="490">
        <v>21655</v>
      </c>
      <c r="FQ43" s="490">
        <v>28651</v>
      </c>
      <c r="FR43" s="490">
        <v>25951</v>
      </c>
      <c r="FS43" s="490">
        <v>22151</v>
      </c>
      <c r="FT43" s="490">
        <v>26916</v>
      </c>
      <c r="FU43" s="490">
        <v>22149</v>
      </c>
      <c r="FV43" s="597">
        <v>23132</v>
      </c>
      <c r="FW43" s="480">
        <v>21503</v>
      </c>
      <c r="FX43" s="480">
        <v>24106</v>
      </c>
      <c r="FY43" s="480">
        <v>21433</v>
      </c>
      <c r="FZ43" s="413">
        <f>(FY43-HA43)/HA43</f>
        <v>-0.104009029722838</v>
      </c>
      <c r="GA43" s="480">
        <v>19142</v>
      </c>
      <c r="GB43" s="413">
        <f>(GA43-HC43)/HC43</f>
        <v>-0.122892228739003</v>
      </c>
      <c r="GC43" s="480">
        <v>30675</v>
      </c>
      <c r="GD43" s="413">
        <f>(GC43-HE43)/HE43</f>
        <v>-0.142150008389731</v>
      </c>
      <c r="GE43" s="414">
        <f>FP43+FQ43+FR43+FS43+FT43+FU43+FV43+FW43+FX43+FY43+GA43+GC43</f>
        <v>287464</v>
      </c>
      <c r="GF43" s="481">
        <f>(GE43-HG43)/HG43</f>
        <v>-0.113594385497513</v>
      </c>
      <c r="GG43" s="415"/>
      <c r="GH43" s="318"/>
      <c r="GI43" s="417">
        <v>24093</v>
      </c>
      <c r="GJ43" s="104">
        <f>(GI43-HL43)/HL43</f>
        <v>-0.00384519970230712</v>
      </c>
      <c r="GK43" s="103">
        <v>32435</v>
      </c>
      <c r="GL43" s="104">
        <f>(GK43-HN43)/HN43</f>
        <v>-0.0145830168616132</v>
      </c>
      <c r="GM43" s="424">
        <v>28896</v>
      </c>
      <c r="GN43" s="104">
        <f>(GM43-HP43)/HP43</f>
        <v>-0.0122714065971629</v>
      </c>
      <c r="GO43" s="424">
        <v>23614</v>
      </c>
      <c r="GP43" s="104">
        <f>(GO43-HR43)/HR43</f>
        <v>-0.0173116937161881</v>
      </c>
      <c r="GQ43" s="424">
        <v>27815</v>
      </c>
      <c r="GR43" s="104">
        <f>(GQ43-HT43)/HT43</f>
        <v>-0.0296528867957439</v>
      </c>
      <c r="GS43" s="103">
        <v>25632</v>
      </c>
      <c r="GT43" s="104">
        <f>(GS43-HW43)/HW43</f>
        <v>-0.0253621810715236</v>
      </c>
      <c r="GU43" s="103">
        <v>26994</v>
      </c>
      <c r="GV43" s="104">
        <f>(GU43-HY43)/HY43</f>
        <v>-0.0118603118822754</v>
      </c>
      <c r="GW43" s="103">
        <v>25818</v>
      </c>
      <c r="GX43" s="104">
        <f>(GW43-IA43)/IA43</f>
        <v>-0.0402587264413962</v>
      </c>
      <c r="GY43" s="103">
        <v>27503</v>
      </c>
      <c r="GZ43" s="104">
        <f>(GY43-IC43)/IC43</f>
        <v>-0.0404702927118585</v>
      </c>
      <c r="HA43" s="103">
        <v>23921</v>
      </c>
      <c r="HB43" s="104">
        <f>(HA43-IE43)/IE43</f>
        <v>-0.0203939555264343</v>
      </c>
      <c r="HC43" s="103">
        <v>21824</v>
      </c>
      <c r="HD43" s="104">
        <f>(HC43-IG43)/IG43</f>
        <v>9.16506278068005e-5</v>
      </c>
      <c r="HE43" s="103">
        <v>35758</v>
      </c>
      <c r="HF43" s="104">
        <f>(HE43-II43)/II43</f>
        <v>-0.015663280755361</v>
      </c>
      <c r="HG43" s="414">
        <f>GI43+GK43+GM43+GO43+GQ43+GS43+GU43+GW43+GY43+HA43+HC43+HE43</f>
        <v>324303</v>
      </c>
      <c r="HH43" s="103">
        <f>HE43+HC43+HA43+GY43+GW43+GU43+GS43+GQ43+GO43+GM43+GK43+GI43</f>
        <v>324303</v>
      </c>
      <c r="HI43" s="394"/>
      <c r="HJ43" s="411"/>
      <c r="HK43" s="493"/>
      <c r="HL43" s="417">
        <v>24186</v>
      </c>
      <c r="HM43" s="418">
        <f>(HL43-IN43)/IN43</f>
        <v>-0.0144896828242657</v>
      </c>
      <c r="HN43" s="421">
        <v>32915</v>
      </c>
      <c r="HO43" s="418">
        <f>(HN43-IP43)/IP43</f>
        <v>-0.0170284185251991</v>
      </c>
      <c r="HP43" s="421">
        <v>29255</v>
      </c>
      <c r="HQ43" s="423">
        <f>(HP43-IR43)/IR43</f>
        <v>-0.0142197661488695</v>
      </c>
      <c r="HR43" s="439">
        <v>24030</v>
      </c>
      <c r="HS43" s="304">
        <f>(HR43-IT43)/IT43</f>
        <v>-0.0178607920873013</v>
      </c>
      <c r="HT43" s="439">
        <v>28665</v>
      </c>
      <c r="HU43" s="304">
        <f>(HT43-IV43)/IV43</f>
        <v>-0.0149823030136421</v>
      </c>
      <c r="HV43" s="423"/>
      <c r="HW43" s="439">
        <v>26299</v>
      </c>
      <c r="HX43" s="304">
        <f>(HW43-IX43)/IX43</f>
        <v>0.00198117880138683</v>
      </c>
      <c r="HY43" s="439">
        <v>27318</v>
      </c>
      <c r="HZ43" s="304">
        <f>(HY43-IZ43)/IZ43</f>
        <v>-0.021421407078378</v>
      </c>
      <c r="IA43" s="439">
        <v>26901</v>
      </c>
      <c r="IB43" s="422">
        <f>(IA43-JB43)/JB43</f>
        <v>-0.00649998153414337</v>
      </c>
      <c r="IC43" s="439">
        <v>28663</v>
      </c>
      <c r="ID43" s="425">
        <f>(IC43-JD43)/JD43</f>
        <v>-0.0187936464466658</v>
      </c>
      <c r="IE43" s="439">
        <v>24419</v>
      </c>
      <c r="IF43" s="500">
        <f>(IE43-JF43)/JF43</f>
        <v>-0.00533604887983707</v>
      </c>
      <c r="IG43" s="103">
        <v>21822</v>
      </c>
      <c r="IH43" s="309">
        <f>(IG43-JH43)/JH43</f>
        <v>0</v>
      </c>
      <c r="II43" s="103">
        <v>36327</v>
      </c>
      <c r="IJ43" s="309">
        <f>(II43-JJ43)/JJ43</f>
        <v>0.0382702640905453</v>
      </c>
      <c r="IK43" s="391">
        <f>HL43+HN43+HP43+HR43+HT43+HW43+HY43+IA43+IC43+IE43+IG43+II43</f>
        <v>330800</v>
      </c>
      <c r="IL43" s="104">
        <f>IK43/JL43-1</f>
        <v>-0.0068565328004544</v>
      </c>
      <c r="IM43" s="318"/>
      <c r="IN43" s="518">
        <v>24541.6</v>
      </c>
      <c r="IO43" s="304">
        <f>IN43/JP43-1</f>
        <v>0.0308815875534512</v>
      </c>
      <c r="IP43" s="103">
        <v>33485.2</v>
      </c>
      <c r="IQ43" s="304">
        <f>IP43/JQ43-1</f>
        <v>0.0240195667680836</v>
      </c>
      <c r="IR43" s="424">
        <v>29677</v>
      </c>
      <c r="IS43" s="394">
        <f>(IR43-JR43)/JR43</f>
        <v>0.0263095050862604</v>
      </c>
      <c r="IT43" s="517">
        <v>24467</v>
      </c>
      <c r="IU43" s="304">
        <f>(IT43-JS43)/JS43</f>
        <v>0.0280947184573384</v>
      </c>
      <c r="IV43" s="517">
        <v>29101</v>
      </c>
      <c r="IW43" s="304">
        <f>(IV43-JT43)/JT43</f>
        <v>0.0267839648573569</v>
      </c>
      <c r="IX43" s="517">
        <v>26247</v>
      </c>
      <c r="IY43" s="104">
        <f>(IX43-JU43)/JU43</f>
        <v>0.0218090689452719</v>
      </c>
      <c r="IZ43" s="517">
        <v>27916</v>
      </c>
      <c r="JA43" s="104">
        <f>(IZ43-JV43)/JV43</f>
        <v>0.0266956117271287</v>
      </c>
      <c r="JB43" s="103">
        <v>27077</v>
      </c>
      <c r="JC43" s="104">
        <f>(JB43-JW43)/JW43</f>
        <v>0.0230045503935176</v>
      </c>
      <c r="JD43" s="103">
        <v>29212</v>
      </c>
      <c r="JE43" s="394">
        <f>(JD43-JX43)/JX43</f>
        <v>0.00159538753860664</v>
      </c>
      <c r="JF43" s="103">
        <v>24550</v>
      </c>
      <c r="JG43" s="418">
        <f>(JF43-JY43)/JY43</f>
        <v>-0.0414197538746741</v>
      </c>
      <c r="JH43" s="103">
        <v>21822</v>
      </c>
      <c r="JI43" s="418">
        <f>(JH43-JZ43)/JZ43</f>
        <v>-0.0297378458967354</v>
      </c>
      <c r="JJ43" s="103">
        <v>34988</v>
      </c>
      <c r="JK43" s="418">
        <f>(JJ43-KA43)/KA43</f>
        <v>-0.0999813022774155</v>
      </c>
      <c r="JL43" s="399">
        <f t="shared" si="126"/>
        <v>333083.8</v>
      </c>
      <c r="JM43" s="398">
        <f>JL43/JO43-1</f>
        <v>0.000102728278647435</v>
      </c>
      <c r="JN43" s="400"/>
      <c r="JO43" s="518">
        <v>333049.586389286</v>
      </c>
      <c r="JP43" s="424">
        <v>23806.4199577408</v>
      </c>
      <c r="JQ43" s="424">
        <v>32699.7657922523</v>
      </c>
      <c r="JR43" s="424">
        <v>28916.2283433258</v>
      </c>
      <c r="JS43" s="424">
        <v>23798.3909077102</v>
      </c>
      <c r="JT43" s="424">
        <v>28341.8917669237</v>
      </c>
      <c r="JU43" s="424">
        <v>25686.7949186364</v>
      </c>
      <c r="JV43" s="424">
        <v>27190.1425126763</v>
      </c>
      <c r="JW43" s="424">
        <v>26468.1129615546</v>
      </c>
      <c r="JX43" s="424">
        <v>29165.4697729666</v>
      </c>
      <c r="JY43" s="424">
        <v>25610.7927314729</v>
      </c>
      <c r="JZ43" s="424">
        <v>22490.8288009732</v>
      </c>
      <c r="KA43" s="424">
        <v>38874.7479230531</v>
      </c>
    </row>
    <row r="44" s="286" customFormat="1" ht="28.8" hidden="1" customHeight="1" spans="1:287">
      <c r="A44" s="298" t="s">
        <v>104</v>
      </c>
      <c r="B44" s="164" t="s">
        <v>206</v>
      </c>
      <c r="C44" s="109">
        <v>114.3916</v>
      </c>
      <c r="D44" s="359">
        <f t="shared" si="76"/>
        <v>-0.122243477153251</v>
      </c>
      <c r="E44" s="163">
        <v>120.983</v>
      </c>
      <c r="F44" s="359">
        <f t="shared" si="77"/>
        <v>-0.0921751762815822</v>
      </c>
      <c r="G44" s="163">
        <v>119.5115</v>
      </c>
      <c r="H44" s="359">
        <f t="shared" si="78"/>
        <v>-0.067645739473017</v>
      </c>
      <c r="I44" s="163">
        <v>120.3786</v>
      </c>
      <c r="J44" s="359">
        <f t="shared" si="79"/>
        <v>-0.0749813272842955</v>
      </c>
      <c r="K44" s="163">
        <v>122.8015</v>
      </c>
      <c r="L44" s="359">
        <f t="shared" si="80"/>
        <v>-0.0775966126876989</v>
      </c>
      <c r="M44" s="163">
        <v>121.1953</v>
      </c>
      <c r="N44" s="359">
        <f t="shared" si="81"/>
        <v>-0.0733567500779879</v>
      </c>
      <c r="O44" s="163">
        <v>120.2273</v>
      </c>
      <c r="P44" s="359">
        <f t="shared" si="82"/>
        <v>-0.0614860281380973</v>
      </c>
      <c r="Q44" s="127"/>
      <c r="R44" s="127"/>
      <c r="S44" s="109">
        <f t="shared" si="95"/>
        <v>839.4888</v>
      </c>
      <c r="T44" s="359">
        <f t="shared" si="96"/>
        <v>-0.188258473553601</v>
      </c>
      <c r="U44" s="359"/>
      <c r="V44" s="109">
        <v>130.3227</v>
      </c>
      <c r="W44" s="359">
        <f t="shared" si="83"/>
        <v>0.0506683844212132</v>
      </c>
      <c r="X44" s="109">
        <v>133.2669</v>
      </c>
      <c r="Y44" s="359">
        <f t="shared" si="84"/>
        <v>0.0268013166045655</v>
      </c>
      <c r="Z44" s="109">
        <v>128.1825</v>
      </c>
      <c r="AA44" s="359">
        <f t="shared" si="85"/>
        <v>0.0293964118790253</v>
      </c>
      <c r="AB44" s="109">
        <v>130.1364</v>
      </c>
      <c r="AC44" s="359">
        <f t="shared" si="86"/>
        <v>0.0342856007470842</v>
      </c>
      <c r="AD44" s="163">
        <v>133.1321</v>
      </c>
      <c r="AE44" s="359">
        <f t="shared" si="87"/>
        <v>0.0140276821458385</v>
      </c>
      <c r="AF44" s="163">
        <v>130.7896</v>
      </c>
      <c r="AG44" s="359">
        <f t="shared" si="88"/>
        <v>0.0195348431132272</v>
      </c>
      <c r="AH44" s="163">
        <v>128.1039</v>
      </c>
      <c r="AI44" s="359">
        <f t="shared" si="89"/>
        <v>0.0138267192584807</v>
      </c>
      <c r="AJ44" s="163">
        <v>120.2483</v>
      </c>
      <c r="AK44" s="359">
        <f t="shared" si="90"/>
        <v>-0.0277481763451223</v>
      </c>
      <c r="AL44" s="163">
        <v>118.1387</v>
      </c>
      <c r="AM44" s="359">
        <f t="shared" si="91"/>
        <v>-0.0452250219421245</v>
      </c>
      <c r="AN44" s="163">
        <v>123.2278</v>
      </c>
      <c r="AO44" s="359">
        <f t="shared" si="92"/>
        <v>-0.0515357113994003</v>
      </c>
      <c r="AP44" s="163">
        <v>118.7277</v>
      </c>
      <c r="AQ44" s="359">
        <f t="shared" si="93"/>
        <v>-0.0707046751356047</v>
      </c>
      <c r="AR44" s="163">
        <v>116.6459</v>
      </c>
      <c r="AS44" s="359">
        <f t="shared" si="94"/>
        <v>-0.0771203243207319</v>
      </c>
      <c r="AT44" s="107">
        <f t="shared" si="97"/>
        <v>1510.9225</v>
      </c>
      <c r="AU44" s="359">
        <f t="shared" si="98"/>
        <v>-0.00701356465386316</v>
      </c>
      <c r="AV44" s="360"/>
      <c r="AW44" s="450">
        <v>124.0379</v>
      </c>
      <c r="AX44" s="361">
        <v>-0.0533069561441069</v>
      </c>
      <c r="AY44" s="108">
        <v>129.7884</v>
      </c>
      <c r="AZ44" s="361">
        <f t="shared" si="65"/>
        <v>-0.119963493528306</v>
      </c>
      <c r="BA44" s="108">
        <v>124.522</v>
      </c>
      <c r="BB44" s="361">
        <f t="shared" si="66"/>
        <v>-0.0269939973401387</v>
      </c>
      <c r="BC44" s="108">
        <v>125.8225</v>
      </c>
      <c r="BD44" s="361">
        <f t="shared" si="67"/>
        <v>-0.0269053544663863</v>
      </c>
      <c r="BE44" s="483">
        <v>131.2904</v>
      </c>
      <c r="BF44" s="361">
        <f t="shared" si="68"/>
        <v>0.00857388900881362</v>
      </c>
      <c r="BG44" s="363">
        <v>128.2836</v>
      </c>
      <c r="BH44" s="361">
        <f t="shared" si="69"/>
        <v>-0.0113824997726583</v>
      </c>
      <c r="BI44" s="363">
        <v>126.3568</v>
      </c>
      <c r="BJ44" s="361">
        <f t="shared" si="70"/>
        <v>-0.00194466165888629</v>
      </c>
      <c r="BK44" s="363">
        <v>123.6802</v>
      </c>
      <c r="BL44" s="361">
        <f t="shared" si="71"/>
        <v>0.000989009210249359</v>
      </c>
      <c r="BM44" s="363">
        <v>123.7346</v>
      </c>
      <c r="BN44" s="361">
        <f t="shared" si="72"/>
        <v>-0.0128666410312459</v>
      </c>
      <c r="BO44" s="363">
        <v>129.9235</v>
      </c>
      <c r="BP44" s="361">
        <f t="shared" si="73"/>
        <v>-0.0123438489425478</v>
      </c>
      <c r="BQ44" s="363">
        <v>127.761</v>
      </c>
      <c r="BR44" s="361">
        <f t="shared" si="74"/>
        <v>0.0417928873892348</v>
      </c>
      <c r="BS44" s="363">
        <v>126.3934</v>
      </c>
      <c r="BT44" s="361">
        <f t="shared" si="75"/>
        <v>0.061377528355963</v>
      </c>
      <c r="BU44" s="108">
        <f t="shared" si="99"/>
        <v>1521.5943</v>
      </c>
      <c r="BV44" s="361">
        <f t="shared" si="100"/>
        <v>-0.0148251372814203</v>
      </c>
      <c r="BW44" s="364"/>
      <c r="BX44" s="450">
        <v>131.0223</v>
      </c>
      <c r="BY44" s="361">
        <f t="shared" si="101"/>
        <v>0.118132337027947</v>
      </c>
      <c r="BZ44" s="450">
        <v>147.4807</v>
      </c>
      <c r="CA44" s="361">
        <f t="shared" si="102"/>
        <v>0.147666857580417</v>
      </c>
      <c r="CB44" s="108">
        <v>127.9766</v>
      </c>
      <c r="CC44" s="361">
        <f t="shared" si="103"/>
        <v>0.135917900723925</v>
      </c>
      <c r="CD44" s="108">
        <v>129.3014</v>
      </c>
      <c r="CE44" s="361">
        <v>0.650170247739815</v>
      </c>
      <c r="CF44" s="363">
        <v>130.1743</v>
      </c>
      <c r="CG44" s="361">
        <f t="shared" si="104"/>
        <v>0.416106331201502</v>
      </c>
      <c r="CH44" s="363">
        <v>129.7606</v>
      </c>
      <c r="CI44" s="361">
        <f t="shared" si="105"/>
        <v>0.384347852062377</v>
      </c>
      <c r="CJ44" s="363">
        <v>126.603</v>
      </c>
      <c r="CK44" s="361">
        <f t="shared" si="106"/>
        <v>0.364491722710812</v>
      </c>
      <c r="CL44" s="108">
        <v>123.558</v>
      </c>
      <c r="CM44" s="361">
        <f t="shared" si="107"/>
        <v>0.397578968561882</v>
      </c>
      <c r="CN44" s="108">
        <f>99.5593+CN46</f>
        <v>125.3474</v>
      </c>
      <c r="CO44" s="361">
        <f t="shared" si="108"/>
        <v>-0.614910389155947</v>
      </c>
      <c r="CP44" s="108">
        <f>104.8202+CP46</f>
        <v>131.5473</v>
      </c>
      <c r="CQ44" s="361">
        <f t="shared" si="109"/>
        <v>-0.0504481861058698</v>
      </c>
      <c r="CR44" s="108">
        <v>122.6357</v>
      </c>
      <c r="CS44" s="361">
        <f t="shared" si="110"/>
        <v>0.497202413871828</v>
      </c>
      <c r="CT44" s="108">
        <v>119.0843</v>
      </c>
      <c r="CU44" s="361">
        <f t="shared" si="111"/>
        <v>0.149986287188758</v>
      </c>
      <c r="CV44" s="108">
        <f t="shared" si="112"/>
        <v>1544.4916</v>
      </c>
      <c r="CW44" s="361">
        <f t="shared" si="113"/>
        <v>0.0629264116455253</v>
      </c>
      <c r="CX44" s="365">
        <f t="shared" si="114"/>
        <v>-0.028958940993528</v>
      </c>
      <c r="CY44" s="365"/>
      <c r="CZ44" s="453">
        <v>117.1796</v>
      </c>
      <c r="DA44" s="450">
        <v>128.5048</v>
      </c>
      <c r="DB44" s="450">
        <v>112.6636</v>
      </c>
      <c r="DC44" s="450">
        <v>78.3564</v>
      </c>
      <c r="DD44" s="108">
        <v>91.9241</v>
      </c>
      <c r="DE44" s="108">
        <v>93.7341</v>
      </c>
      <c r="DF44" s="108">
        <v>92.784</v>
      </c>
      <c r="DG44" s="108">
        <v>88.4086</v>
      </c>
      <c r="DH44" s="108">
        <v>325.5019</v>
      </c>
      <c r="DI44" s="108">
        <v>138.5362</v>
      </c>
      <c r="DJ44" s="108">
        <v>81.9099</v>
      </c>
      <c r="DK44" s="108">
        <v>103.5528</v>
      </c>
      <c r="DL44" s="108">
        <v>1453.056</v>
      </c>
      <c r="DM44" s="368">
        <v>-0.0694389528729021</v>
      </c>
      <c r="DN44" s="369"/>
      <c r="DO44" s="370">
        <v>149.7522</v>
      </c>
      <c r="DP44" s="371">
        <f>(DO44-DX44)/DX44</f>
        <v>0.0266408530557456</v>
      </c>
      <c r="DQ44" s="388">
        <v>164.6407</v>
      </c>
      <c r="DR44" s="532"/>
      <c r="DS44" s="388">
        <v>147.544</v>
      </c>
      <c r="DT44" s="373">
        <f t="shared" si="115"/>
        <v>92.3645510346137</v>
      </c>
      <c r="DU44" s="374"/>
      <c r="DV44" s="388">
        <v>144.0516</v>
      </c>
      <c r="DW44" s="373">
        <f t="shared" si="116"/>
        <v>0.967017826541132</v>
      </c>
      <c r="DX44" s="388">
        <v>145.8662</v>
      </c>
      <c r="DY44" s="373">
        <f t="shared" si="117"/>
        <v>0.365536506842839</v>
      </c>
      <c r="DZ44" s="388">
        <v>137.1799</v>
      </c>
      <c r="EA44" s="373">
        <f t="shared" si="118"/>
        <v>0.848479295211171</v>
      </c>
      <c r="EB44" s="388">
        <v>133.4315</v>
      </c>
      <c r="EC44" s="373">
        <f t="shared" si="119"/>
        <v>0.524814671333738</v>
      </c>
      <c r="ED44" s="388">
        <v>95.7142</v>
      </c>
      <c r="EE44" s="373">
        <f t="shared" si="120"/>
        <v>-0.196177496644938</v>
      </c>
      <c r="EF44" s="388">
        <v>111.3512</v>
      </c>
      <c r="EG44" s="373">
        <f t="shared" si="121"/>
        <v>-0.106964956672027</v>
      </c>
      <c r="EH44" s="388">
        <v>115.8213</v>
      </c>
      <c r="EI44" s="373">
        <f t="shared" si="122"/>
        <v>-0.101507839415141</v>
      </c>
      <c r="EJ44" s="388">
        <v>110.4734</v>
      </c>
      <c r="EK44" s="373">
        <f t="shared" si="123"/>
        <v>-0.0332163578923418</v>
      </c>
      <c r="EL44" s="388">
        <v>105.6576</v>
      </c>
      <c r="EM44" s="373">
        <f t="shared" si="124"/>
        <v>-0.0362811977529135</v>
      </c>
      <c r="EN44" s="372">
        <f t="shared" si="127"/>
        <v>1561.4838</v>
      </c>
      <c r="EO44" s="373">
        <v>0.281193088262853</v>
      </c>
      <c r="EP44" s="533">
        <v>278.8478</v>
      </c>
      <c r="EQ44" s="373">
        <f>(EP44-FP44)/FP44</f>
        <v>-0.0131999045926468</v>
      </c>
      <c r="ER44" s="388">
        <v>0</v>
      </c>
      <c r="ES44" s="373">
        <f>(ER44-FQ44)/FQ44</f>
        <v>-1</v>
      </c>
      <c r="ET44" s="388">
        <v>1.5803</v>
      </c>
      <c r="EU44" s="373">
        <f>(ET44-FR44)/FR44</f>
        <v>-0.989099372091275</v>
      </c>
      <c r="EV44" s="388">
        <v>73.2335</v>
      </c>
      <c r="EW44" s="373">
        <f>(EV44-FS44)/FS44</f>
        <v>-0.558834337349398</v>
      </c>
      <c r="EX44" s="388">
        <v>106.8197</v>
      </c>
      <c r="EY44" s="373">
        <f>(EX44-FT44)/FT44</f>
        <v>-0.3313157566914</v>
      </c>
      <c r="EZ44" s="388">
        <v>74.2123</v>
      </c>
      <c r="FA44" s="373">
        <f>(EZ44-FU44)/FU44</f>
        <v>-0.521999822228864</v>
      </c>
      <c r="FB44" s="388">
        <v>87.5067</v>
      </c>
      <c r="FC44" s="373">
        <f>(FB44-FV44)/FV44</f>
        <v>-0.438000101473355</v>
      </c>
      <c r="FD44" s="388">
        <v>119.0738</v>
      </c>
      <c r="FE44" s="373">
        <f>(FD44-FW44)/FW44</f>
        <v>-0.218632785534111</v>
      </c>
      <c r="FF44" s="388">
        <v>124.6885</v>
      </c>
      <c r="FG44" s="373">
        <f>(FF44-FX44)/FX44</f>
        <v>-0.372006430602577</v>
      </c>
      <c r="FH44" s="388">
        <v>128.9063</v>
      </c>
      <c r="FI44" s="373">
        <f>(FH44-FY44)/FY44</f>
        <v>-0.41906203609481</v>
      </c>
      <c r="FJ44" s="388">
        <v>114.269</v>
      </c>
      <c r="FK44" s="373">
        <f>(FJ44-GA44)/GA44</f>
        <v>-0.424232530063417</v>
      </c>
      <c r="FL44" s="388">
        <v>109.6353</v>
      </c>
      <c r="FM44" s="456">
        <f>(FL44-GC44)/GC44</f>
        <v>-0.614797484200714</v>
      </c>
      <c r="FN44" s="359">
        <v>1218.7732</v>
      </c>
      <c r="FO44" s="358">
        <f>(FN44-(FP44+FQ44+FR44+FS44+FT44+FU44+FV44+FW44+FX44+FY44+GA44+GC44))/(FP44+FQ44+FR44+FS44+FT44+FU44+FV44+FW44+FX44+FY44+GA44+GC44)</f>
        <v>-0.471128390702208</v>
      </c>
      <c r="FP44" s="512">
        <v>282.5778</v>
      </c>
      <c r="FQ44" s="512">
        <v>184.3028</v>
      </c>
      <c r="FR44" s="512">
        <v>144.9733</v>
      </c>
      <c r="FS44" s="512">
        <v>166</v>
      </c>
      <c r="FT44" s="512">
        <v>159.7461</v>
      </c>
      <c r="FU44" s="512">
        <v>155.2558</v>
      </c>
      <c r="FV44" s="599">
        <v>155.7059</v>
      </c>
      <c r="FW44" s="484">
        <v>152.3916</v>
      </c>
      <c r="FX44" s="484">
        <v>198.5506</v>
      </c>
      <c r="FY44" s="484">
        <v>221.8934</v>
      </c>
      <c r="FZ44" s="376">
        <f>(FY44-HA44)/HA44</f>
        <v>-0.00840002663412173</v>
      </c>
      <c r="GA44" s="484">
        <v>198.4638</v>
      </c>
      <c r="GB44" s="376">
        <f>(GA44-HC44)/HC44</f>
        <v>-0.014000272255117</v>
      </c>
      <c r="GC44" s="484">
        <v>284.6173</v>
      </c>
      <c r="GD44" s="376">
        <f>(GC44-HE44)/HE44</f>
        <v>-0.0108999429373305</v>
      </c>
      <c r="GE44" s="375">
        <f>FP44+FQ44+FR44+FS44+FT44+FU44+FV44+FW44+FX44+FY44+GA44+GC44</f>
        <v>2304.4784</v>
      </c>
      <c r="GF44" s="377">
        <f>(GE44-HG44)/HG44</f>
        <v>-0.0125470474644311</v>
      </c>
      <c r="GG44" s="317"/>
      <c r="GH44" s="536"/>
      <c r="GI44" s="379">
        <v>291.3474</v>
      </c>
      <c r="GJ44" s="376">
        <f>(GI44-HL44)/HL44</f>
        <v>-0.0209998827272731</v>
      </c>
      <c r="GK44" s="375">
        <v>188.2562</v>
      </c>
      <c r="GL44" s="376">
        <f>(GK44-HN44)/HN44</f>
        <v>-0.512462043862727</v>
      </c>
      <c r="GM44" s="533">
        <v>151.3291</v>
      </c>
      <c r="GN44" s="376">
        <f>(GM44-HP44)/HP44</f>
        <v>-0.434182419954825</v>
      </c>
      <c r="GO44" s="533">
        <v>171.5195</v>
      </c>
      <c r="GP44" s="376">
        <f>(GO44-HR44)/HR44</f>
        <v>-0.28787503233261</v>
      </c>
      <c r="GQ44" s="533">
        <v>160.5535</v>
      </c>
      <c r="GR44" s="376">
        <f>(GQ44-HT44)/HT44</f>
        <v>-0.296952109710738</v>
      </c>
      <c r="GS44" s="375">
        <v>160.4726</v>
      </c>
      <c r="GT44" s="376">
        <f>(GS44-HW44)/HW44</f>
        <v>-0.398362516796238</v>
      </c>
      <c r="GU44" s="375">
        <v>147.3301</v>
      </c>
      <c r="GV44" s="376">
        <f>(GU44-HY44)/HY44</f>
        <v>-0.440398045249749</v>
      </c>
      <c r="GW44" s="375">
        <v>147.953</v>
      </c>
      <c r="GX44" s="376">
        <f>(GW44-IA44)/IA44</f>
        <v>-0.424038461538462</v>
      </c>
      <c r="GY44" s="375">
        <v>202.1901</v>
      </c>
      <c r="GZ44" s="376">
        <f>(GY44-IC44)/IC44</f>
        <v>-0.209999890597991</v>
      </c>
      <c r="HA44" s="375">
        <v>223.7731</v>
      </c>
      <c r="HB44" s="376">
        <f>(HA44-IE44)/IE44</f>
        <v>-0.125000048877633</v>
      </c>
      <c r="HC44" s="375">
        <v>201.2818</v>
      </c>
      <c r="HD44" s="376">
        <f>(HC44-IG44)/IG44</f>
        <v>-0.131999720558848</v>
      </c>
      <c r="HE44" s="375">
        <v>287.7538</v>
      </c>
      <c r="HF44" s="376">
        <f>(HE44-II44)/II44</f>
        <v>-0.0120000494422638</v>
      </c>
      <c r="HG44" s="375">
        <f>GI44+GK44+GM44+GO44+GQ44+GS44+GU44+GW44+GY44+HA44+HC44+HE44</f>
        <v>2333.7602</v>
      </c>
      <c r="HH44" s="375">
        <f>HE44+HC44+HA44+GY44+GW44+GU44+GS44+GQ44+GO44+GM44+GK44+GI44</f>
        <v>2333.7602</v>
      </c>
      <c r="HI44" s="377"/>
      <c r="HJ44" s="369"/>
      <c r="HK44" s="485"/>
      <c r="HL44" s="379">
        <v>297.5969</v>
      </c>
      <c r="HM44" s="380">
        <f>(HL44-IN44)/IN44</f>
        <v>0.018999958910864</v>
      </c>
      <c r="HN44" s="462">
        <v>386.1365</v>
      </c>
      <c r="HO44" s="380">
        <f>(HN44-IP44)/IP44</f>
        <v>-0.0800000285909248</v>
      </c>
      <c r="HP44" s="462">
        <v>267.4521</v>
      </c>
      <c r="HQ44" s="466">
        <f>(HP44-IR44)/IR44</f>
        <v>-0.0730000249554961</v>
      </c>
      <c r="HR44" s="464">
        <v>240.8559</v>
      </c>
      <c r="HS44" s="465">
        <f>(HR44-IT44)/IT44</f>
        <v>-0.0419998305592381</v>
      </c>
      <c r="HT44" s="464">
        <v>228.3678</v>
      </c>
      <c r="HU44" s="465">
        <f>(HT44-IV44)/IV44</f>
        <v>-0.050000166398211</v>
      </c>
      <c r="HV44" s="466"/>
      <c r="HW44" s="464">
        <v>266.7264</v>
      </c>
      <c r="HX44" s="465">
        <f>(HW44-IX44)/IX44</f>
        <v>-0.0120000296333612</v>
      </c>
      <c r="HY44" s="464">
        <v>263.2766</v>
      </c>
      <c r="HZ44" s="465">
        <f>(HY44-IZ44)/IZ44</f>
        <v>-0.0110001731748741</v>
      </c>
      <c r="IA44" s="464">
        <v>256.88</v>
      </c>
      <c r="IB44" s="390">
        <f>(IA44-JB44)/JB44</f>
        <v>-0.012</v>
      </c>
      <c r="IC44" s="464">
        <v>255.9368</v>
      </c>
      <c r="ID44" s="390">
        <f>(IC44-JD44)/JD44</f>
        <v>-0.00909994765516827</v>
      </c>
      <c r="IE44" s="464">
        <v>255.7407</v>
      </c>
      <c r="IF44" s="377">
        <f>(IE44-JF44)/JF44</f>
        <v>-0.00849987845685575</v>
      </c>
      <c r="IG44" s="464">
        <v>231.8914</v>
      </c>
      <c r="IH44" s="390">
        <f>(IG44-JH44)/JH44</f>
        <v>-0.00940015438381253</v>
      </c>
      <c r="II44" s="559">
        <v>291.2488</v>
      </c>
      <c r="IJ44" s="309">
        <f>(II44-JJ44)/JJ44</f>
        <v>0.050000036051652</v>
      </c>
      <c r="IK44" s="391">
        <f>HL44+HN44+HP44+HR44+HT44+HW44+HY44+IA44+IC44+IE44+IG44+II44</f>
        <v>3242.1099</v>
      </c>
      <c r="IL44" s="104">
        <f>IK44/JL44-1</f>
        <v>-0.0222653867804509</v>
      </c>
      <c r="IM44" s="318"/>
      <c r="IN44" s="537">
        <v>292.048</v>
      </c>
      <c r="IO44" s="300">
        <f>IN44/JP44-1</f>
        <v>0.0320001762939819</v>
      </c>
      <c r="IP44" s="414">
        <v>419.7136</v>
      </c>
      <c r="IQ44" s="300">
        <f>IP44/JQ44-1</f>
        <v>0.0810001181300262</v>
      </c>
      <c r="IR44" s="560">
        <v>288.5136</v>
      </c>
      <c r="IS44" s="394">
        <f>(IR44-JR44)/JR44</f>
        <v>-0.0750000129869015</v>
      </c>
      <c r="IT44" s="513">
        <v>251.4153</v>
      </c>
      <c r="IU44" s="300">
        <f>(IT44-JS44)/JS44</f>
        <v>0.0199998619425821</v>
      </c>
      <c r="IV44" s="513">
        <v>240.3872</v>
      </c>
      <c r="IW44" s="300">
        <f>(IV44-JT44)/JT44</f>
        <v>-0.0218459459017891</v>
      </c>
      <c r="IX44" s="513">
        <v>269.966</v>
      </c>
      <c r="IY44" s="413">
        <f>(IX44-JU44)/JU44</f>
        <v>0.0310001745208004</v>
      </c>
      <c r="IZ44" s="513">
        <v>266.2049</v>
      </c>
      <c r="JA44" s="413">
        <f>(IZ44-JV44)/JV44</f>
        <v>0.0199999721078606</v>
      </c>
      <c r="JB44" s="414">
        <v>260</v>
      </c>
      <c r="JC44" s="413">
        <f>(JB44-JW44)/JW44</f>
        <v>0.0313487866005298</v>
      </c>
      <c r="JD44" s="414">
        <v>258.2872</v>
      </c>
      <c r="JE44" s="469">
        <f>(JD44-JX44)/JX44</f>
        <v>0.0199093327838065</v>
      </c>
      <c r="JF44" s="414">
        <v>257.9331</v>
      </c>
      <c r="JG44" s="418">
        <f>(JF44-JY44)/JY44</f>
        <v>-0.0119999020149902</v>
      </c>
      <c r="JH44" s="375">
        <v>234.0919</v>
      </c>
      <c r="JI44" s="398">
        <f>(JH44-JZ44)/JZ44</f>
        <v>-0.000525751563662414</v>
      </c>
      <c r="JJ44" s="472">
        <v>277.3798</v>
      </c>
      <c r="JK44" s="398">
        <f>(JJ44-KA44)/KA44</f>
        <v>-0.00290005640783214</v>
      </c>
      <c r="JL44" s="399">
        <f t="shared" si="126"/>
        <v>3315.9406</v>
      </c>
      <c r="JM44" s="398">
        <f>JL44/JO44-1</f>
        <v>0.0118681263577141</v>
      </c>
      <c r="JN44" s="400"/>
      <c r="JO44" s="528">
        <v>3277.0481781415</v>
      </c>
      <c r="JP44" s="388">
        <v>282.992199719165</v>
      </c>
      <c r="JQ44" s="388">
        <v>388.264157386073</v>
      </c>
      <c r="JR44" s="388">
        <v>311.90659897373</v>
      </c>
      <c r="JS44" s="388">
        <v>246.485621597224</v>
      </c>
      <c r="JT44" s="388">
        <v>245.755971661969</v>
      </c>
      <c r="JU44" s="388">
        <v>261.848646267667</v>
      </c>
      <c r="JV44" s="388">
        <v>260.985203215133</v>
      </c>
      <c r="JW44" s="388">
        <v>252.097062970323</v>
      </c>
      <c r="JX44" s="388">
        <v>253.245255923891</v>
      </c>
      <c r="JY44" s="388">
        <v>261.065864797023</v>
      </c>
      <c r="JZ44" s="388">
        <v>234.215038922947</v>
      </c>
      <c r="KA44" s="388">
        <v>278.186556706349</v>
      </c>
    </row>
    <row r="45" ht="28.8" hidden="1" customHeight="1" spans="1:287">
      <c r="A45" s="401"/>
      <c r="B45" s="141" t="s">
        <v>209</v>
      </c>
      <c r="C45" s="163">
        <v>6018.7633</v>
      </c>
      <c r="D45" s="359">
        <f t="shared" si="76"/>
        <v>-0.0877542062490159</v>
      </c>
      <c r="E45" s="163">
        <v>6370.467</v>
      </c>
      <c r="F45" s="359">
        <f t="shared" si="77"/>
        <v>-0.0544902306761915</v>
      </c>
      <c r="G45" s="163">
        <v>6382.2507</v>
      </c>
      <c r="H45" s="359">
        <f t="shared" si="78"/>
        <v>-0.0547271627195128</v>
      </c>
      <c r="I45" s="163">
        <v>6638.9771</v>
      </c>
      <c r="J45" s="359">
        <f t="shared" si="79"/>
        <v>-0.0598665161617136</v>
      </c>
      <c r="K45" s="163">
        <v>6644.3877</v>
      </c>
      <c r="L45" s="359">
        <f t="shared" si="80"/>
        <v>-0.05579188354961</v>
      </c>
      <c r="M45" s="163">
        <v>6426.1171</v>
      </c>
      <c r="N45" s="359">
        <f t="shared" si="81"/>
        <v>-0.0595861054257059</v>
      </c>
      <c r="O45" s="163">
        <v>6325.9991</v>
      </c>
      <c r="P45" s="359">
        <f t="shared" si="82"/>
        <v>-0.0582913985640058</v>
      </c>
      <c r="Q45" s="127"/>
      <c r="R45" s="127"/>
      <c r="S45" s="109">
        <f t="shared" si="95"/>
        <v>44806.962</v>
      </c>
      <c r="T45" s="359">
        <f t="shared" si="96"/>
        <v>-0.171712994477105</v>
      </c>
      <c r="U45" s="359"/>
      <c r="V45" s="163">
        <v>6597.743</v>
      </c>
      <c r="W45" s="359">
        <f t="shared" si="83"/>
        <v>0.0748073905318649</v>
      </c>
      <c r="X45" s="93">
        <v>6737.6004</v>
      </c>
      <c r="Y45" s="402">
        <f t="shared" si="84"/>
        <v>0.0647162419817198</v>
      </c>
      <c r="Z45" s="93">
        <v>6751.7551</v>
      </c>
      <c r="AA45" s="402">
        <f t="shared" si="85"/>
        <v>0.0699416361481104</v>
      </c>
      <c r="AB45" s="93">
        <v>7061.7388</v>
      </c>
      <c r="AC45" s="402">
        <f t="shared" si="86"/>
        <v>0.0446439374290464</v>
      </c>
      <c r="AD45" s="163">
        <v>7036.9949</v>
      </c>
      <c r="AE45" s="402">
        <f t="shared" si="87"/>
        <v>-0.00495462818887393</v>
      </c>
      <c r="AF45" s="163">
        <v>6833.286</v>
      </c>
      <c r="AG45" s="402">
        <f t="shared" si="88"/>
        <v>0.0127860780453517</v>
      </c>
      <c r="AH45" s="163">
        <v>6717.576</v>
      </c>
      <c r="AI45" s="402">
        <f t="shared" si="89"/>
        <v>-0.00635451103809681</v>
      </c>
      <c r="AJ45" s="163">
        <v>6359.2432</v>
      </c>
      <c r="AK45" s="402">
        <f t="shared" si="90"/>
        <v>-0.0418301462308058</v>
      </c>
      <c r="AL45" s="163">
        <v>6290.8263</v>
      </c>
      <c r="AM45" s="402">
        <f t="shared" si="91"/>
        <v>-0.0136180444863491</v>
      </c>
      <c r="AN45" s="163">
        <v>6607.9652</v>
      </c>
      <c r="AO45" s="402">
        <f t="shared" si="92"/>
        <v>-0.0254421121069575</v>
      </c>
      <c r="AP45" s="163">
        <v>6390.1947</v>
      </c>
      <c r="AQ45" s="402">
        <f t="shared" si="93"/>
        <v>-0.026391779681641</v>
      </c>
      <c r="AR45" s="163">
        <v>6195.4234</v>
      </c>
      <c r="AS45" s="402">
        <f t="shared" si="94"/>
        <v>-0.0105336230757113</v>
      </c>
      <c r="AT45" s="107">
        <f t="shared" si="97"/>
        <v>79580.347</v>
      </c>
      <c r="AU45" s="359">
        <f t="shared" si="98"/>
        <v>0.0107192969185781</v>
      </c>
      <c r="AV45" s="360"/>
      <c r="AW45" s="488">
        <v>6138.5352</v>
      </c>
      <c r="AX45" s="404">
        <v>-0.0137489215325564</v>
      </c>
      <c r="AY45" s="403">
        <v>6328.0714</v>
      </c>
      <c r="AZ45" s="405">
        <f t="shared" si="65"/>
        <v>-0.124267538949831</v>
      </c>
      <c r="BA45" s="403">
        <v>6310.3957</v>
      </c>
      <c r="BB45" s="405">
        <f t="shared" si="66"/>
        <v>0.0107071865535875</v>
      </c>
      <c r="BC45" s="403">
        <v>6759.9481</v>
      </c>
      <c r="BD45" s="405">
        <f t="shared" si="67"/>
        <v>0.0435675829666913</v>
      </c>
      <c r="BE45" s="406">
        <v>7072.0342</v>
      </c>
      <c r="BF45" s="405">
        <f t="shared" si="68"/>
        <v>0.0728126336790211</v>
      </c>
      <c r="BG45" s="403">
        <v>6747.0181</v>
      </c>
      <c r="BH45" s="405">
        <f t="shared" si="69"/>
        <v>0.0562692220287291</v>
      </c>
      <c r="BI45" s="403">
        <v>6760.5359</v>
      </c>
      <c r="BJ45" s="405">
        <f t="shared" si="70"/>
        <v>0.0544334969338147</v>
      </c>
      <c r="BK45" s="163">
        <v>6636.8642</v>
      </c>
      <c r="BL45" s="402">
        <f t="shared" si="71"/>
        <v>0.06247830015362</v>
      </c>
      <c r="BM45" s="163">
        <v>6377.6778</v>
      </c>
      <c r="BN45" s="402">
        <f t="shared" si="72"/>
        <v>0.0185612378357793</v>
      </c>
      <c r="BO45" s="163">
        <v>6780.4748</v>
      </c>
      <c r="BP45" s="402">
        <f t="shared" si="73"/>
        <v>0.0147136343419698</v>
      </c>
      <c r="BQ45" s="163">
        <v>6563.4149</v>
      </c>
      <c r="BR45" s="402">
        <f t="shared" si="74"/>
        <v>0.0642916027187519</v>
      </c>
      <c r="BS45" s="163">
        <v>6261.3784</v>
      </c>
      <c r="BT45" s="402">
        <f t="shared" si="75"/>
        <v>0.0526618015817282</v>
      </c>
      <c r="BU45" s="109">
        <f t="shared" si="99"/>
        <v>78736.3487</v>
      </c>
      <c r="BV45" s="359">
        <f t="shared" si="100"/>
        <v>0.0243077177751716</v>
      </c>
      <c r="BW45" s="429"/>
      <c r="BX45" s="93">
        <v>6224.11</v>
      </c>
      <c r="BY45" s="402">
        <f t="shared" si="101"/>
        <v>0.140676229814268</v>
      </c>
      <c r="BZ45" s="93">
        <v>7226.0327</v>
      </c>
      <c r="CA45" s="359">
        <f t="shared" si="102"/>
        <v>0.176121319831969</v>
      </c>
      <c r="CB45" s="109">
        <v>6243.5449</v>
      </c>
      <c r="CC45" s="359">
        <f t="shared" si="103"/>
        <v>0.167858902335376</v>
      </c>
      <c r="CD45" s="109">
        <v>6477.7291</v>
      </c>
      <c r="CE45" s="359">
        <v>0.835389945722546</v>
      </c>
      <c r="CF45" s="163">
        <v>6592.0497</v>
      </c>
      <c r="CG45" s="359">
        <f t="shared" si="104"/>
        <v>0.606863542042663</v>
      </c>
      <c r="CH45" s="163">
        <v>6387.5932</v>
      </c>
      <c r="CI45" s="359">
        <f t="shared" si="105"/>
        <v>0.471876621416943</v>
      </c>
      <c r="CJ45" s="163">
        <v>6411.5337</v>
      </c>
      <c r="CK45" s="359">
        <f t="shared" si="106"/>
        <v>0.410495598447489</v>
      </c>
      <c r="CL45" s="109">
        <v>6246.588</v>
      </c>
      <c r="CM45" s="359">
        <f t="shared" si="107"/>
        <v>0.500270628532605</v>
      </c>
      <c r="CN45" s="109">
        <f>5597.1552+CN47</f>
        <v>6261.4574</v>
      </c>
      <c r="CO45" s="359">
        <f t="shared" si="108"/>
        <v>-0.708388929130544</v>
      </c>
      <c r="CP45" s="109">
        <f>5981.7169+CP47</f>
        <v>6682.156</v>
      </c>
      <c r="CQ45" s="359">
        <f t="shared" si="109"/>
        <v>-0.0295460176443643</v>
      </c>
      <c r="CR45" s="109">
        <v>6166.9329</v>
      </c>
      <c r="CS45" s="359">
        <f t="shared" si="110"/>
        <v>0.597723859948018</v>
      </c>
      <c r="CT45" s="109">
        <v>5948.1387</v>
      </c>
      <c r="CU45" s="359">
        <f t="shared" si="111"/>
        <v>0.160082458329817</v>
      </c>
      <c r="CV45" s="109">
        <f t="shared" si="112"/>
        <v>76867.8663</v>
      </c>
      <c r="CW45" s="359">
        <f t="shared" si="113"/>
        <v>0.0252864381962561</v>
      </c>
      <c r="CX45" s="408">
        <f t="shared" si="114"/>
        <v>-0.0354786088235206</v>
      </c>
      <c r="CY45" s="408"/>
      <c r="CZ45" s="490">
        <v>5456.5089</v>
      </c>
      <c r="DA45" s="93">
        <v>6143.9518</v>
      </c>
      <c r="DB45" s="93">
        <v>5346.1466</v>
      </c>
      <c r="DC45" s="107">
        <v>3529.3476</v>
      </c>
      <c r="DD45" s="163">
        <v>4102.4328</v>
      </c>
      <c r="DE45" s="163">
        <v>4339.7613</v>
      </c>
      <c r="DF45" s="109">
        <v>4545.5893</v>
      </c>
      <c r="DG45" s="109">
        <v>4163.6408</v>
      </c>
      <c r="DH45" s="109">
        <v>21471.9468</v>
      </c>
      <c r="DI45" s="109">
        <v>6885.598</v>
      </c>
      <c r="DJ45" s="109">
        <v>3859.824</v>
      </c>
      <c r="DK45" s="109">
        <v>5127.3413</v>
      </c>
      <c r="DL45" s="109">
        <v>74972.0892</v>
      </c>
      <c r="DM45" s="410">
        <v>-0.143919736269951</v>
      </c>
      <c r="DN45" s="411"/>
      <c r="DO45" s="412">
        <v>9666.4115</v>
      </c>
      <c r="DP45" s="87">
        <f>(DO45-DX45)/DX45</f>
        <v>0.0737102116413113</v>
      </c>
      <c r="DQ45" s="424">
        <v>10708.2193</v>
      </c>
      <c r="DR45" s="304"/>
      <c r="DS45" s="424">
        <v>9828.8168</v>
      </c>
      <c r="DT45" s="104">
        <f t="shared" si="115"/>
        <v>6.83321827822191</v>
      </c>
      <c r="DU45" s="103"/>
      <c r="DV45" s="424">
        <v>9179.3661</v>
      </c>
      <c r="DW45" s="104">
        <f t="shared" si="116"/>
        <v>0.675998392537166</v>
      </c>
      <c r="DX45" s="424">
        <v>9002.8123</v>
      </c>
      <c r="DY45" s="104">
        <f t="shared" si="117"/>
        <v>0.339666214229102</v>
      </c>
      <c r="DZ45" s="424">
        <v>7696.705</v>
      </c>
      <c r="EA45" s="104">
        <f t="shared" si="118"/>
        <v>0.947858804307471</v>
      </c>
      <c r="EB45" s="424">
        <v>7036.6053</v>
      </c>
      <c r="EC45" s="104">
        <f t="shared" si="119"/>
        <v>0.365425093752839</v>
      </c>
      <c r="ED45" s="424">
        <v>4135.787</v>
      </c>
      <c r="EE45" s="104">
        <f t="shared" si="120"/>
        <v>-0.37247608139805</v>
      </c>
      <c r="EF45" s="424">
        <v>5015.5497</v>
      </c>
      <c r="EG45" s="104">
        <f t="shared" si="121"/>
        <v>-0.230426296644423</v>
      </c>
      <c r="EH45" s="424">
        <v>5321.0767</v>
      </c>
      <c r="EI45" s="104">
        <f t="shared" si="122"/>
        <v>-0.258431492189233</v>
      </c>
      <c r="EJ45" s="424">
        <v>4976.3213</v>
      </c>
      <c r="EK45" s="104">
        <f t="shared" si="123"/>
        <v>-0.133594180789148</v>
      </c>
      <c r="EL45" s="424">
        <v>5008.3337</v>
      </c>
      <c r="EM45" s="104">
        <f t="shared" si="124"/>
        <v>-0.100116249400035</v>
      </c>
      <c r="EN45" s="93">
        <f t="shared" si="127"/>
        <v>87576.0047</v>
      </c>
      <c r="EO45" s="104">
        <v>0.326544746210014</v>
      </c>
      <c r="EP45" s="515">
        <v>11868.8804</v>
      </c>
      <c r="EQ45" s="104">
        <f>(EP45-FP45)/FP45</f>
        <v>-0.0169885373529899</v>
      </c>
      <c r="ER45" s="424">
        <v>0</v>
      </c>
      <c r="ES45" s="104">
        <f>(ER45-FQ45)/FQ45</f>
        <v>-1</v>
      </c>
      <c r="ET45" s="424">
        <v>1254.761</v>
      </c>
      <c r="EU45" s="104">
        <f>(ET45-FR45)/FR45</f>
        <v>-0.90006394099505</v>
      </c>
      <c r="EV45" s="424">
        <v>5476.954</v>
      </c>
      <c r="EW45" s="104">
        <f>(EV45-FS45)/FS45</f>
        <v>-0.478732844770153</v>
      </c>
      <c r="EX45" s="424">
        <v>6720.1906</v>
      </c>
      <c r="EY45" s="104">
        <f>(EX45-FT45)/FT45</f>
        <v>-0.271965901843398</v>
      </c>
      <c r="EZ45" s="424">
        <v>3951.367</v>
      </c>
      <c r="FA45" s="104">
        <f>(EZ45-FU45)/FU45</f>
        <v>-0.564000002471651</v>
      </c>
      <c r="FB45" s="424">
        <v>5153.4173</v>
      </c>
      <c r="FC45" s="104">
        <f>(FB45-FV45)/FV45</f>
        <v>-0.471999997950874</v>
      </c>
      <c r="FD45" s="424">
        <v>6590.6444</v>
      </c>
      <c r="FE45" s="104">
        <f>(FD45-FW45)/FW45</f>
        <v>-0.318101415347511</v>
      </c>
      <c r="FF45" s="424">
        <v>6517.3091</v>
      </c>
      <c r="FG45" s="104">
        <f>(FF45-FX45)/FX45</f>
        <v>-0.399884153761227</v>
      </c>
      <c r="FH45" s="424">
        <v>7175.4351</v>
      </c>
      <c r="FI45" s="104">
        <f>(FH45-FY45)/FY45</f>
        <v>-0.360174545926914</v>
      </c>
      <c r="FJ45" s="424">
        <v>5743.6379</v>
      </c>
      <c r="FK45" s="104">
        <f>(FJ45-GA45)/GA45</f>
        <v>-0.41895371286087</v>
      </c>
      <c r="FL45" s="424">
        <v>5565.5341</v>
      </c>
      <c r="FM45" s="456">
        <f>(FL45-GC45)/GC45</f>
        <v>-0.721489035249884</v>
      </c>
      <c r="FN45" s="95">
        <v>66018.1309</v>
      </c>
      <c r="FO45" s="96">
        <f>(FN45-(FP45+FQ45+FR45+FS45+FT45+FU45+FV45+FW45+FX45+FY45+GA45+GC45))/(FP45+FQ45+FR45+FS45+FT45+FU45+FV45+FW45+FX45+FY45+GA45+GC45)</f>
        <v>-0.522340648573131</v>
      </c>
      <c r="FP45" s="490">
        <v>12074</v>
      </c>
      <c r="FQ45" s="490">
        <v>13413.4071</v>
      </c>
      <c r="FR45" s="490">
        <v>12555.6382</v>
      </c>
      <c r="FS45" s="490">
        <v>10507</v>
      </c>
      <c r="FT45" s="490">
        <v>9230.5987</v>
      </c>
      <c r="FU45" s="490">
        <v>9062.7684</v>
      </c>
      <c r="FV45" s="597">
        <v>9760.26</v>
      </c>
      <c r="FW45" s="480">
        <v>9665.1387</v>
      </c>
      <c r="FX45" s="480">
        <v>10860.085</v>
      </c>
      <c r="FY45" s="480">
        <v>11214.6759</v>
      </c>
      <c r="FZ45" s="491">
        <f>(FY45-HA45)/HA45</f>
        <v>-0.0176999984689165</v>
      </c>
      <c r="GA45" s="480">
        <v>9884.992</v>
      </c>
      <c r="GB45" s="491">
        <f>(GA45-HC45)/HC45</f>
        <v>-0.0190000054086538</v>
      </c>
      <c r="GC45" s="480">
        <v>19983.1777</v>
      </c>
      <c r="GD45" s="491">
        <f>(GC45-HE45)/HE45</f>
        <v>-0.0162999998503518</v>
      </c>
      <c r="GE45" s="492">
        <f>FP45+FQ45+FR45+FS45+FT45+FU45+FV45+FW45+FX45+FY45+GA45+GC45</f>
        <v>138211.7417</v>
      </c>
      <c r="GF45" s="481">
        <f>(GE45-HG45)/HG45</f>
        <v>-0.027009049952084</v>
      </c>
      <c r="GG45" s="415"/>
      <c r="GH45" s="318"/>
      <c r="GI45" s="417">
        <v>12591.6579</v>
      </c>
      <c r="GJ45" s="104">
        <f>(GI45-HL45)/HL45</f>
        <v>-0.023000005454651</v>
      </c>
      <c r="GK45" s="103">
        <v>13293.7632</v>
      </c>
      <c r="GL45" s="104">
        <f>(GK45-HN45)/HN45</f>
        <v>-0.214129101439521</v>
      </c>
      <c r="GM45" s="424">
        <v>13202.5638</v>
      </c>
      <c r="GN45" s="104">
        <f>(GM45-HP45)/HP45</f>
        <v>0.0687594796038733</v>
      </c>
      <c r="GO45" s="424">
        <v>10968.096</v>
      </c>
      <c r="GP45" s="104">
        <f>(GO45-HR45)/HR45</f>
        <v>-0.101390917198117</v>
      </c>
      <c r="GQ45" s="424">
        <v>9792.5178</v>
      </c>
      <c r="GR45" s="104">
        <f>(GQ45-HT45)/HT45</f>
        <v>-0.263526086888933</v>
      </c>
      <c r="GS45" s="103">
        <v>9352.7022</v>
      </c>
      <c r="GT45" s="104">
        <f>(GS45-HW45)/HW45</f>
        <v>-0.315821522795401</v>
      </c>
      <c r="GU45" s="103">
        <v>10134.1712</v>
      </c>
      <c r="GV45" s="104">
        <f>(GU45-HY45)/HY45</f>
        <v>-0.293351501065777</v>
      </c>
      <c r="GW45" s="103">
        <v>9812.3236</v>
      </c>
      <c r="GX45" s="104">
        <f>(GW45-IA45)/IA45</f>
        <v>-0.421016593357936</v>
      </c>
      <c r="GY45" s="103">
        <v>11093.0388</v>
      </c>
      <c r="GZ45" s="104">
        <f>(GY45-IC45)/IC45</f>
        <v>-0.230000000208239</v>
      </c>
      <c r="HA45" s="103">
        <v>11416.7524</v>
      </c>
      <c r="HB45" s="104">
        <f>(HA45-IE45)/IE45</f>
        <v>-0.151999999049257</v>
      </c>
      <c r="HC45" s="103">
        <v>10076.4445</v>
      </c>
      <c r="HD45" s="104">
        <f>(HC45-IG45)/IG45</f>
        <v>-0.120999995830255</v>
      </c>
      <c r="HE45" s="103">
        <v>20314.3008</v>
      </c>
      <c r="HF45" s="104">
        <f>(HE45-II45)/II45</f>
        <v>-0.0110000010467256</v>
      </c>
      <c r="HG45" s="414">
        <f>GI45+GK45+GM45+GO45+GQ45+GS45+GU45+GW45+GY45+HA45+HC45+HE45</f>
        <v>142048.3322</v>
      </c>
      <c r="HH45" s="103">
        <f>HE45+HC45+HA45+GY45+GW45+GU45+GS45+GQ45+GO45+GM45+GK45+GI45</f>
        <v>142048.3322</v>
      </c>
      <c r="HI45" s="394"/>
      <c r="HJ45" s="411"/>
      <c r="HK45" s="493"/>
      <c r="HL45" s="417">
        <v>12888.0839</v>
      </c>
      <c r="HM45" s="418">
        <f>(HL45-IN45)/IN45</f>
        <v>0.0130000034819684</v>
      </c>
      <c r="HN45" s="421">
        <v>16915.9632</v>
      </c>
      <c r="HO45" s="418">
        <f>(HN45-IP45)/IP45</f>
        <v>-0.0899999975792097</v>
      </c>
      <c r="HP45" s="421">
        <v>12353.1665</v>
      </c>
      <c r="HQ45" s="423">
        <f>(HP45-IR45)/IR45</f>
        <v>-0.0859999964189263</v>
      </c>
      <c r="HR45" s="439">
        <v>12205.6367</v>
      </c>
      <c r="HS45" s="304">
        <f>(HR45-IT45)/IT45</f>
        <v>-0.0309999995792354</v>
      </c>
      <c r="HT45" s="439">
        <v>13296.4897</v>
      </c>
      <c r="HU45" s="304">
        <f>(HT45-IV45)/IV45</f>
        <v>-0.0429999978551782</v>
      </c>
      <c r="HV45" s="423"/>
      <c r="HW45" s="439">
        <v>13669.9743</v>
      </c>
      <c r="HX45" s="304">
        <f>(HW45-IX45)/IX45</f>
        <v>-0.0180000004453848</v>
      </c>
      <c r="HY45" s="439">
        <v>14341.177</v>
      </c>
      <c r="HZ45" s="304">
        <f>(HY45-IZ45)/IZ45</f>
        <v>-0.0150000028160171</v>
      </c>
      <c r="IA45" s="439">
        <v>16947.504</v>
      </c>
      <c r="IB45" s="422">
        <f>(IA45-JB45)/JB45</f>
        <v>-0.011</v>
      </c>
      <c r="IC45" s="439">
        <v>14406.5439</v>
      </c>
      <c r="ID45" s="425">
        <f>(IC45-JD45)/JD45</f>
        <v>-0.00999999690765526</v>
      </c>
      <c r="IE45" s="439">
        <v>13463.1514</v>
      </c>
      <c r="IF45" s="500">
        <f>(IE45-JF45)/JF45</f>
        <v>0.0278834157094154</v>
      </c>
      <c r="IG45" s="439">
        <v>11463.5318</v>
      </c>
      <c r="IH45" s="309">
        <f>(IG45-JH45)/JH45</f>
        <v>-0.0125000002153569</v>
      </c>
      <c r="II45" s="565">
        <v>20540.2435</v>
      </c>
      <c r="IJ45" s="309">
        <f>(II45-JJ45)/JJ45</f>
        <v>0.0400000018227631</v>
      </c>
      <c r="IK45" s="391">
        <f>HL45+HN45+HP45+HR45+HT45+HW45+HY45+IA45+IC45+IE45+IG45+II45</f>
        <v>172491.4659</v>
      </c>
      <c r="IL45" s="104">
        <f>IK45/JL45-1</f>
        <v>-0.0196128457941867</v>
      </c>
      <c r="IM45" s="318"/>
      <c r="IN45" s="518">
        <v>12722.6889</v>
      </c>
      <c r="IO45" s="304">
        <f>IN45/JP45-1</f>
        <v>0.0349999985411316</v>
      </c>
      <c r="IP45" s="103">
        <v>18588.9705</v>
      </c>
      <c r="IQ45" s="304">
        <f>IP45/JQ45-1</f>
        <v>0.100000000879124</v>
      </c>
      <c r="IR45" s="424">
        <v>13515.4994</v>
      </c>
      <c r="IS45" s="394">
        <f>(IR45-JR45)/JR45</f>
        <v>-0.09400000301649</v>
      </c>
      <c r="IT45" s="517">
        <v>12596.1163</v>
      </c>
      <c r="IU45" s="304">
        <f>(IT45-JS45)/JS45</f>
        <v>0.0249999979295315</v>
      </c>
      <c r="IV45" s="517">
        <v>13893.9286</v>
      </c>
      <c r="IW45" s="304">
        <f>(IV45-JT45)/JT45</f>
        <v>-0.0499999990550204</v>
      </c>
      <c r="IX45" s="517">
        <v>13920.5441</v>
      </c>
      <c r="IY45" s="104">
        <f>(IX45-JU45)/JU45</f>
        <v>0.0500000013878956</v>
      </c>
      <c r="IZ45" s="517">
        <v>14559.5706</v>
      </c>
      <c r="JA45" s="104">
        <f>(IZ45-JV45)/JV45</f>
        <v>0.0374152084146553</v>
      </c>
      <c r="JB45" s="103">
        <v>17136</v>
      </c>
      <c r="JC45" s="104">
        <f>(JB45-JW45)/JW45</f>
        <v>0.254177398758645</v>
      </c>
      <c r="JD45" s="103">
        <v>14552.0645</v>
      </c>
      <c r="JE45" s="394">
        <f>(JD45-JX45)/JX45</f>
        <v>-0.0329816544662727</v>
      </c>
      <c r="JF45" s="103">
        <v>13097.9362</v>
      </c>
      <c r="JG45" s="418">
        <f>(JF45-JY45)/JY45</f>
        <v>-0.00999999967647225</v>
      </c>
      <c r="JH45" s="103">
        <v>11608.6398</v>
      </c>
      <c r="JI45" s="418">
        <f>(JH45-JZ45)/JZ45</f>
        <v>-0.000699995409628159</v>
      </c>
      <c r="JJ45" s="103">
        <v>19750.2341</v>
      </c>
      <c r="JK45" s="418">
        <f>(JJ45-KA45)/KA45</f>
        <v>-0.014500002162177</v>
      </c>
      <c r="JL45" s="399">
        <f t="shared" si="126"/>
        <v>175942.193</v>
      </c>
      <c r="JM45" s="398">
        <f>JL45/JO45-1</f>
        <v>0.0234263333992664</v>
      </c>
      <c r="JN45" s="400"/>
      <c r="JO45" s="518">
        <v>171914.858215164</v>
      </c>
      <c r="JP45" s="424">
        <v>12292.4530608049</v>
      </c>
      <c r="JQ45" s="424">
        <v>16899.0640774033</v>
      </c>
      <c r="JR45" s="424">
        <v>14917.7698068425</v>
      </c>
      <c r="JS45" s="424">
        <v>12288.8939760427</v>
      </c>
      <c r="JT45" s="424">
        <v>14625.1879854521</v>
      </c>
      <c r="JU45" s="424">
        <v>13257.661030095</v>
      </c>
      <c r="JV45" s="424">
        <v>14034.4680528151</v>
      </c>
      <c r="JW45" s="424">
        <v>13663.1388964279</v>
      </c>
      <c r="JX45" s="424">
        <v>15048.3851389275</v>
      </c>
      <c r="JY45" s="424">
        <v>13230.238581535</v>
      </c>
      <c r="JZ45" s="424">
        <v>11616.7714867154</v>
      </c>
      <c r="KA45" s="424">
        <v>20040.8261221023</v>
      </c>
    </row>
    <row r="46" ht="28.8" customHeight="1" spans="1:287">
      <c r="A46" s="401"/>
      <c r="B46" s="141" t="s">
        <v>211</v>
      </c>
      <c r="C46" s="163">
        <v>12.8144</v>
      </c>
      <c r="D46" s="402">
        <f t="shared" si="76"/>
        <v>-0.310883336739194</v>
      </c>
      <c r="E46" s="163">
        <v>13.5845</v>
      </c>
      <c r="F46" s="359">
        <f t="shared" si="77"/>
        <v>-0.265234041172207</v>
      </c>
      <c r="G46" s="163">
        <v>13.8477</v>
      </c>
      <c r="H46" s="359">
        <f t="shared" si="78"/>
        <v>-0.179186400090097</v>
      </c>
      <c r="I46" s="163">
        <v>13.6975</v>
      </c>
      <c r="J46" s="359">
        <f t="shared" si="79"/>
        <v>-0.151868088320888</v>
      </c>
      <c r="K46" s="163">
        <v>13.8946</v>
      </c>
      <c r="L46" s="359">
        <f t="shared" si="80"/>
        <v>-0.154819401695884</v>
      </c>
      <c r="M46" s="163">
        <v>13.7005</v>
      </c>
      <c r="N46" s="402">
        <f t="shared" si="81"/>
        <v>-0.156264048922582</v>
      </c>
      <c r="O46" s="163">
        <v>13.1217</v>
      </c>
      <c r="P46" s="402">
        <f t="shared" si="82"/>
        <v>-0.117762149369335</v>
      </c>
      <c r="Q46" s="127"/>
      <c r="R46" s="127"/>
      <c r="S46" s="109">
        <f t="shared" si="95"/>
        <v>94.6609</v>
      </c>
      <c r="T46" s="359">
        <f t="shared" si="96"/>
        <v>-0.280131561436529</v>
      </c>
      <c r="U46" s="359"/>
      <c r="V46" s="163">
        <v>18.5954</v>
      </c>
      <c r="W46" s="402">
        <f t="shared" si="83"/>
        <v>-0.219126885477206</v>
      </c>
      <c r="X46" s="163">
        <v>18.4882</v>
      </c>
      <c r="Y46" s="402">
        <f t="shared" si="84"/>
        <v>-0.264660493827161</v>
      </c>
      <c r="Z46" s="163">
        <v>16.8707</v>
      </c>
      <c r="AA46" s="402">
        <f t="shared" si="85"/>
        <v>-0.274768404083826</v>
      </c>
      <c r="AB46" s="163">
        <v>16.1502</v>
      </c>
      <c r="AC46" s="402">
        <f t="shared" si="86"/>
        <v>-0.276457147977241</v>
      </c>
      <c r="AD46" s="163">
        <v>16.4398</v>
      </c>
      <c r="AE46" s="402">
        <f t="shared" si="87"/>
        <v>-0.272320855520292</v>
      </c>
      <c r="AF46" s="163">
        <v>16.2379</v>
      </c>
      <c r="AG46" s="402">
        <f t="shared" si="88"/>
        <v>-0.2823630280772</v>
      </c>
      <c r="AH46" s="163">
        <v>14.8732</v>
      </c>
      <c r="AI46" s="402">
        <f t="shared" si="89"/>
        <v>-0.303575023997378</v>
      </c>
      <c r="AJ46" s="163">
        <v>13.8421</v>
      </c>
      <c r="AK46" s="402">
        <f t="shared" si="90"/>
        <v>-0.306125620331846</v>
      </c>
      <c r="AL46" s="163">
        <v>14.0909</v>
      </c>
      <c r="AM46" s="402">
        <f t="shared" si="91"/>
        <v>-0.320750260306197</v>
      </c>
      <c r="AN46" s="163">
        <v>14.3213</v>
      </c>
      <c r="AO46" s="402">
        <f t="shared" si="92"/>
        <v>-0.268201328564129</v>
      </c>
      <c r="AP46" s="163">
        <v>14.3825</v>
      </c>
      <c r="AQ46" s="402">
        <f t="shared" si="93"/>
        <v>-0.272269587876641</v>
      </c>
      <c r="AR46" s="163">
        <v>13.6668</v>
      </c>
      <c r="AS46" s="402">
        <f t="shared" si="94"/>
        <v>-0.322133769808794</v>
      </c>
      <c r="AT46" s="93">
        <f t="shared" si="97"/>
        <v>187.959</v>
      </c>
      <c r="AU46" s="402">
        <f t="shared" si="98"/>
        <v>-0.280687843039405</v>
      </c>
      <c r="AV46" s="360"/>
      <c r="AW46" s="93">
        <v>23.8136</v>
      </c>
      <c r="AX46" s="402">
        <v>-0.162722340788349</v>
      </c>
      <c r="AY46" s="163">
        <v>25.1424</v>
      </c>
      <c r="AZ46" s="402">
        <f t="shared" si="65"/>
        <v>-0.250835801505337</v>
      </c>
      <c r="BA46" s="93">
        <v>23.2625</v>
      </c>
      <c r="BB46" s="402">
        <f t="shared" si="66"/>
        <v>-0.217201543892237</v>
      </c>
      <c r="BC46" s="93">
        <v>22.321</v>
      </c>
      <c r="BD46" s="402">
        <f t="shared" si="67"/>
        <v>-0.222159108729061</v>
      </c>
      <c r="BE46" s="93">
        <v>22.5921</v>
      </c>
      <c r="BF46" s="402">
        <f t="shared" si="68"/>
        <v>-0.177766454970611</v>
      </c>
      <c r="BG46" s="93">
        <v>22.6269</v>
      </c>
      <c r="BH46" s="402">
        <f t="shared" si="69"/>
        <v>-0.179251031971156</v>
      </c>
      <c r="BI46" s="93">
        <v>21.3565</v>
      </c>
      <c r="BJ46" s="402">
        <f t="shared" si="70"/>
        <v>-0.193357707793532</v>
      </c>
      <c r="BK46" s="93">
        <v>19.949</v>
      </c>
      <c r="BL46" s="402">
        <f t="shared" si="71"/>
        <v>-0.200402424164689</v>
      </c>
      <c r="BM46" s="93">
        <v>20.7448</v>
      </c>
      <c r="BN46" s="402">
        <f t="shared" si="72"/>
        <v>-0.195566947545573</v>
      </c>
      <c r="BO46" s="93">
        <v>19.57</v>
      </c>
      <c r="BP46" s="402">
        <f t="shared" si="73"/>
        <v>-0.267784383640575</v>
      </c>
      <c r="BQ46" s="93">
        <v>19.7635</v>
      </c>
      <c r="BR46" s="402">
        <f t="shared" si="74"/>
        <v>-0.18785365873704</v>
      </c>
      <c r="BS46" s="93">
        <v>20.1615</v>
      </c>
      <c r="BT46" s="402">
        <f t="shared" si="75"/>
        <v>-0.110750909692359</v>
      </c>
      <c r="BU46" s="163">
        <f t="shared" si="99"/>
        <v>261.3038</v>
      </c>
      <c r="BV46" s="402">
        <f t="shared" si="100"/>
        <v>-0.199456017901533</v>
      </c>
      <c r="BW46" s="429"/>
      <c r="BX46" s="93">
        <v>28.4417</v>
      </c>
      <c r="BY46" s="402">
        <f t="shared" si="101"/>
        <v>0.0213853236707342</v>
      </c>
      <c r="BZ46" s="93">
        <v>33.5606</v>
      </c>
      <c r="CA46" s="402">
        <f t="shared" si="102"/>
        <v>0.0661875897474997</v>
      </c>
      <c r="CB46" s="163">
        <v>29.7171</v>
      </c>
      <c r="CC46" s="402">
        <f t="shared" si="103"/>
        <v>0.0764725059769613</v>
      </c>
      <c r="CD46" s="163">
        <v>28.6961</v>
      </c>
      <c r="CE46" s="402">
        <v>0.340150191943062</v>
      </c>
      <c r="CF46" s="163">
        <v>27.4765</v>
      </c>
      <c r="CG46" s="402">
        <f t="shared" si="104"/>
        <v>0.0661335319977807</v>
      </c>
      <c r="CH46" s="163">
        <v>27.5686</v>
      </c>
      <c r="CI46" s="402">
        <f t="shared" si="105"/>
        <v>0.0518632699080097</v>
      </c>
      <c r="CJ46" s="163">
        <v>26.4758</v>
      </c>
      <c r="CK46" s="402">
        <f t="shared" si="106"/>
        <v>0.040686773555759</v>
      </c>
      <c r="CL46" s="163">
        <v>24.9488</v>
      </c>
      <c r="CM46" s="402">
        <f t="shared" si="107"/>
        <v>0.0651274585562238</v>
      </c>
      <c r="CN46" s="163">
        <v>25.7881</v>
      </c>
      <c r="CO46" s="402">
        <f t="shared" si="108"/>
        <v>-0.0423420713524434</v>
      </c>
      <c r="CP46" s="163">
        <v>26.7271</v>
      </c>
      <c r="CQ46" s="402">
        <f t="shared" si="109"/>
        <v>-0.148631387151954</v>
      </c>
      <c r="CR46" s="163">
        <v>24.3349</v>
      </c>
      <c r="CS46" s="402">
        <f t="shared" si="110"/>
        <v>0.262163970477638</v>
      </c>
      <c r="CT46" s="163">
        <v>22.6725</v>
      </c>
      <c r="CU46" s="402">
        <f t="shared" si="111"/>
        <v>0.0138398247104592</v>
      </c>
      <c r="CV46" s="163">
        <f t="shared" si="112"/>
        <v>326.4078</v>
      </c>
      <c r="CW46" s="402">
        <f t="shared" si="113"/>
        <v>0.0558162147370178</v>
      </c>
      <c r="CX46" s="408">
        <f t="shared" si="114"/>
        <v>-0.068313409958537</v>
      </c>
      <c r="CY46" s="408"/>
      <c r="CZ46" s="490">
        <v>27.8462</v>
      </c>
      <c r="DA46" s="93">
        <v>31.4772</v>
      </c>
      <c r="DB46" s="93">
        <v>27.606</v>
      </c>
      <c r="DC46" s="107">
        <v>21.4126</v>
      </c>
      <c r="DD46" s="163">
        <v>25.7721</v>
      </c>
      <c r="DE46" s="163">
        <v>26.2093</v>
      </c>
      <c r="DF46" s="109">
        <v>25.4407</v>
      </c>
      <c r="DG46" s="109">
        <v>23.4233</v>
      </c>
      <c r="DH46" s="109">
        <v>26.9283</v>
      </c>
      <c r="DI46" s="109">
        <v>31.3931</v>
      </c>
      <c r="DJ46" s="109">
        <v>19.2803</v>
      </c>
      <c r="DK46" s="109">
        <v>22.363</v>
      </c>
      <c r="DL46" s="109">
        <v>309.1521</v>
      </c>
      <c r="DM46" s="410">
        <v>-0.203484137422851</v>
      </c>
      <c r="DN46" s="411"/>
      <c r="DO46" s="412">
        <v>37.7042</v>
      </c>
      <c r="DP46" s="87"/>
      <c r="DQ46" s="424">
        <v>41.4941</v>
      </c>
      <c r="DR46" s="304"/>
      <c r="DS46" s="424">
        <v>33.6143</v>
      </c>
      <c r="DT46" s="104" t="e">
        <f t="shared" si="115"/>
        <v>#DIV/0!</v>
      </c>
      <c r="DU46" s="103"/>
      <c r="DV46" s="424">
        <v>33.9603</v>
      </c>
      <c r="DW46" s="104" t="e">
        <f t="shared" si="116"/>
        <v>#DIV/0!</v>
      </c>
      <c r="DX46" s="424">
        <v>35.3288</v>
      </c>
      <c r="DY46" s="104" t="e">
        <f t="shared" si="117"/>
        <v>#DIV/0!</v>
      </c>
      <c r="DZ46" s="424">
        <v>34.4375</v>
      </c>
      <c r="EA46" s="104" t="e">
        <f t="shared" si="118"/>
        <v>#DIV/0!</v>
      </c>
      <c r="EB46" s="424">
        <v>34.4448</v>
      </c>
      <c r="EC46" s="104" t="e">
        <f t="shared" si="119"/>
        <v>#DIV/0!</v>
      </c>
      <c r="ED46" s="424">
        <v>25.0318</v>
      </c>
      <c r="EE46" s="104" t="e">
        <f t="shared" si="120"/>
        <v>#DIV/0!</v>
      </c>
      <c r="EF46" s="424">
        <v>30.0726</v>
      </c>
      <c r="EG46" s="104" t="e">
        <f t="shared" si="121"/>
        <v>#DIV/0!</v>
      </c>
      <c r="EH46" s="424">
        <v>29.4754</v>
      </c>
      <c r="EI46" s="104" t="e">
        <f t="shared" si="122"/>
        <v>#DIV/0!</v>
      </c>
      <c r="EJ46" s="424">
        <v>27.5985</v>
      </c>
      <c r="EK46" s="104" t="e">
        <f t="shared" si="123"/>
        <v>#DIV/0!</v>
      </c>
      <c r="EL46" s="424">
        <v>24.9682</v>
      </c>
      <c r="EM46" s="104" t="e">
        <f t="shared" si="124"/>
        <v>#DIV/0!</v>
      </c>
      <c r="EN46" s="93">
        <f t="shared" si="127"/>
        <v>388.1305</v>
      </c>
      <c r="EO46" s="104" t="e">
        <v>#DIV/0!</v>
      </c>
      <c r="EP46" s="104"/>
      <c r="FN46" s="95">
        <v>0</v>
      </c>
      <c r="FO46" s="96"/>
      <c r="FP46" s="431"/>
      <c r="JL46" s="399">
        <v>0</v>
      </c>
      <c r="JM46" s="398"/>
      <c r="JN46" s="400"/>
      <c r="JO46" s="311"/>
      <c r="JP46" s="144"/>
      <c r="JQ46" s="144"/>
      <c r="JR46" s="144"/>
      <c r="JS46" s="144"/>
      <c r="JT46" s="144"/>
      <c r="JU46" s="144"/>
      <c r="JV46" s="144"/>
      <c r="JW46" s="144"/>
      <c r="JX46" s="144"/>
      <c r="JY46" s="144"/>
      <c r="JZ46" s="144"/>
      <c r="KA46" s="144"/>
    </row>
    <row r="47" ht="28.8" customHeight="1" spans="1:287">
      <c r="A47" s="28"/>
      <c r="B47" s="446" t="s">
        <v>212</v>
      </c>
      <c r="C47" s="163">
        <v>328.5679</v>
      </c>
      <c r="D47" s="402">
        <f t="shared" si="76"/>
        <v>-0.320249442761108</v>
      </c>
      <c r="E47" s="163">
        <v>351.2583</v>
      </c>
      <c r="F47" s="359">
        <f t="shared" si="77"/>
        <v>-0.269028279040846</v>
      </c>
      <c r="G47" s="163">
        <v>357.7085</v>
      </c>
      <c r="H47" s="359">
        <f t="shared" si="78"/>
        <v>-0.183970290563093</v>
      </c>
      <c r="I47" s="163">
        <v>353.1005</v>
      </c>
      <c r="J47" s="359">
        <f t="shared" si="79"/>
        <v>-0.155637077021046</v>
      </c>
      <c r="K47" s="163">
        <v>358.086</v>
      </c>
      <c r="L47" s="359">
        <f t="shared" si="80"/>
        <v>-0.161535622899659</v>
      </c>
      <c r="M47" s="163">
        <v>352.9648</v>
      </c>
      <c r="N47" s="402">
        <f t="shared" si="81"/>
        <v>-0.162323883578463</v>
      </c>
      <c r="O47" s="163">
        <v>336.5635</v>
      </c>
      <c r="P47" s="402">
        <f t="shared" si="82"/>
        <v>-0.125058914149508</v>
      </c>
      <c r="Q47" s="127"/>
      <c r="R47" s="127"/>
      <c r="S47" s="109">
        <f t="shared" si="95"/>
        <v>2438.2495</v>
      </c>
      <c r="T47" s="359">
        <f t="shared" si="96"/>
        <v>-0.283227339932866</v>
      </c>
      <c r="U47" s="359"/>
      <c r="V47" s="163">
        <v>483.3654</v>
      </c>
      <c r="W47" s="402">
        <f t="shared" si="83"/>
        <v>-0.216458277307062</v>
      </c>
      <c r="X47" s="163">
        <v>480.5361</v>
      </c>
      <c r="Y47" s="402">
        <f t="shared" si="84"/>
        <v>-0.258416494788086</v>
      </c>
      <c r="Z47" s="163">
        <v>438.3523</v>
      </c>
      <c r="AA47" s="402">
        <f t="shared" si="85"/>
        <v>-0.265377059774045</v>
      </c>
      <c r="AB47" s="163">
        <v>418.1857</v>
      </c>
      <c r="AC47" s="402">
        <f t="shared" si="86"/>
        <v>-0.265010029564058</v>
      </c>
      <c r="AD47" s="163">
        <v>427.0736</v>
      </c>
      <c r="AE47" s="402">
        <f t="shared" si="87"/>
        <v>-0.258938104232261</v>
      </c>
      <c r="AF47" s="163">
        <v>421.3619</v>
      </c>
      <c r="AG47" s="402">
        <f t="shared" si="88"/>
        <v>-0.271467794892897</v>
      </c>
      <c r="AH47" s="163">
        <v>384.6699</v>
      </c>
      <c r="AI47" s="402">
        <f t="shared" si="89"/>
        <v>-0.292083430640371</v>
      </c>
      <c r="AJ47" s="163">
        <v>348.1606</v>
      </c>
      <c r="AK47" s="402">
        <f t="shared" si="90"/>
        <v>-0.310616343488934</v>
      </c>
      <c r="AL47" s="163">
        <v>363.2084</v>
      </c>
      <c r="AM47" s="402">
        <f t="shared" si="91"/>
        <v>-0.309604449754927</v>
      </c>
      <c r="AN47" s="163">
        <v>371.9696</v>
      </c>
      <c r="AO47" s="402">
        <f t="shared" si="92"/>
        <v>-0.234211790272995</v>
      </c>
      <c r="AP47" s="163">
        <v>371.9696</v>
      </c>
      <c r="AQ47" s="402">
        <f t="shared" si="93"/>
        <v>-0.246617756280774</v>
      </c>
      <c r="AR47" s="163">
        <v>352.3733</v>
      </c>
      <c r="AS47" s="402">
        <f t="shared" si="94"/>
        <v>-0.3001484417391</v>
      </c>
      <c r="AT47" s="93">
        <f t="shared" si="97"/>
        <v>4861.2264</v>
      </c>
      <c r="AU47" s="402">
        <f t="shared" si="98"/>
        <v>-0.268184438559214</v>
      </c>
      <c r="AV47" s="360"/>
      <c r="AW47" s="93">
        <v>616.8981</v>
      </c>
      <c r="AX47" s="402">
        <v>-0.157539620273027</v>
      </c>
      <c r="AY47" s="163">
        <v>647.9865</v>
      </c>
      <c r="AZ47" s="402">
        <f t="shared" si="65"/>
        <v>-0.254187170232793</v>
      </c>
      <c r="BA47" s="93">
        <v>596.7038</v>
      </c>
      <c r="BB47" s="402">
        <f t="shared" si="66"/>
        <v>-0.238859963115493</v>
      </c>
      <c r="BC47" s="93">
        <v>568.9679</v>
      </c>
      <c r="BD47" s="402">
        <f t="shared" si="67"/>
        <v>-0.247073278856651</v>
      </c>
      <c r="BE47" s="93">
        <v>576.2995</v>
      </c>
      <c r="BF47" s="402">
        <f t="shared" si="68"/>
        <v>-0.197331204023738</v>
      </c>
      <c r="BG47" s="93">
        <v>578.371</v>
      </c>
      <c r="BH47" s="402">
        <f t="shared" si="69"/>
        <v>-0.198314324224375</v>
      </c>
      <c r="BI47" s="93">
        <v>543.3831</v>
      </c>
      <c r="BJ47" s="402">
        <f t="shared" si="70"/>
        <v>-0.205178204179307</v>
      </c>
      <c r="BK47" s="93">
        <v>505.0317</v>
      </c>
      <c r="BL47" s="402">
        <f t="shared" si="71"/>
        <v>-0.212865275775213</v>
      </c>
      <c r="BM47" s="93">
        <v>526.0874</v>
      </c>
      <c r="BN47" s="402">
        <f t="shared" si="72"/>
        <v>-0.208060126851906</v>
      </c>
      <c r="BO47" s="93">
        <v>485.7343</v>
      </c>
      <c r="BP47" s="402">
        <f t="shared" si="73"/>
        <v>-0.306528861681194</v>
      </c>
      <c r="BQ47" s="93">
        <v>493.7329</v>
      </c>
      <c r="BR47" s="402">
        <f t="shared" si="74"/>
        <v>-0.22003364200271</v>
      </c>
      <c r="BS47" s="93">
        <v>503.4972</v>
      </c>
      <c r="BT47" s="402">
        <f t="shared" si="75"/>
        <v>-0.135796256183339</v>
      </c>
      <c r="BU47" s="163">
        <f t="shared" si="99"/>
        <v>6642.6934</v>
      </c>
      <c r="BV47" s="402">
        <f t="shared" si="100"/>
        <v>-0.217197435348312</v>
      </c>
      <c r="BW47" s="429"/>
      <c r="BX47" s="473">
        <v>732.2577</v>
      </c>
      <c r="BY47" s="475">
        <f t="shared" si="101"/>
        <v>0.0461507272689088</v>
      </c>
      <c r="BZ47" s="473">
        <v>868.8326</v>
      </c>
      <c r="CA47" s="475">
        <f t="shared" si="102"/>
        <v>0.077878916112333</v>
      </c>
      <c r="CB47" s="448">
        <v>783.9606</v>
      </c>
      <c r="CC47" s="359">
        <f t="shared" si="103"/>
        <v>0.107727536763496</v>
      </c>
      <c r="CD47" s="109">
        <v>755.675</v>
      </c>
      <c r="CE47" s="359">
        <v>0.3718184993403</v>
      </c>
      <c r="CF47" s="163">
        <v>717.9792</v>
      </c>
      <c r="CG47" s="359">
        <f t="shared" si="104"/>
        <v>0.0829012035181733</v>
      </c>
      <c r="CH47" s="163">
        <v>721.4436</v>
      </c>
      <c r="CI47" s="359">
        <f t="shared" si="105"/>
        <v>0.046910632117898</v>
      </c>
      <c r="CJ47" s="163">
        <v>683.654</v>
      </c>
      <c r="CK47" s="359">
        <f t="shared" si="106"/>
        <v>0.0266366849162101</v>
      </c>
      <c r="CL47" s="109">
        <v>641.6077</v>
      </c>
      <c r="CM47" s="359">
        <f t="shared" si="107"/>
        <v>0.0462469520840627</v>
      </c>
      <c r="CN47" s="109">
        <v>664.3022</v>
      </c>
      <c r="CO47" s="359">
        <f t="shared" si="108"/>
        <v>-0.091487444707149</v>
      </c>
      <c r="CP47" s="109">
        <v>700.4391</v>
      </c>
      <c r="CQ47" s="359">
        <f t="shared" si="109"/>
        <v>-0.176789703723126</v>
      </c>
      <c r="CR47" s="109">
        <v>633.0182</v>
      </c>
      <c r="CS47" s="359">
        <f t="shared" si="110"/>
        <v>0.238292215258686</v>
      </c>
      <c r="CT47" s="109">
        <v>582.614</v>
      </c>
      <c r="CU47" s="359">
        <f t="shared" si="111"/>
        <v>-0.0115068627023491</v>
      </c>
      <c r="CV47" s="109">
        <f t="shared" si="112"/>
        <v>8485.7839</v>
      </c>
      <c r="CW47" s="359">
        <f t="shared" si="113"/>
        <v>0.0504103735753492</v>
      </c>
      <c r="CX47" s="408">
        <f t="shared" si="114"/>
        <v>-0.0796251987699563</v>
      </c>
      <c r="CY47" s="408"/>
      <c r="CZ47" s="477">
        <v>699.9543</v>
      </c>
      <c r="DA47" s="473">
        <v>806.0577</v>
      </c>
      <c r="DB47" s="473">
        <v>707.7197</v>
      </c>
      <c r="DC47" s="473">
        <v>550.8564</v>
      </c>
      <c r="DD47" s="448">
        <v>663.0145</v>
      </c>
      <c r="DE47" s="448">
        <v>689.1167</v>
      </c>
      <c r="DF47" s="448">
        <v>665.9162</v>
      </c>
      <c r="DG47" s="448">
        <v>613.2469</v>
      </c>
      <c r="DH47" s="448">
        <v>731.1976</v>
      </c>
      <c r="DI47" s="448">
        <v>850.8629</v>
      </c>
      <c r="DJ47" s="448">
        <v>511.2026</v>
      </c>
      <c r="DK47" s="448">
        <v>589.3961</v>
      </c>
      <c r="DL47" s="448">
        <v>8078.5416</v>
      </c>
      <c r="DM47" s="449">
        <v>-0.201592446475862</v>
      </c>
      <c r="DN47" s="411"/>
      <c r="DO47" s="412">
        <v>999.1175</v>
      </c>
      <c r="DP47" s="87"/>
      <c r="DQ47" s="424">
        <v>1088.7391</v>
      </c>
      <c r="DR47" s="304"/>
      <c r="DS47" s="424">
        <v>902.4396</v>
      </c>
      <c r="DT47" s="104" t="e">
        <f t="shared" si="115"/>
        <v>#DIV/0!</v>
      </c>
      <c r="DU47" s="103"/>
      <c r="DV47" s="424">
        <v>884.911</v>
      </c>
      <c r="DW47" s="104" t="e">
        <f t="shared" si="116"/>
        <v>#DIV/0!</v>
      </c>
      <c r="DX47" s="424">
        <v>929.1928</v>
      </c>
      <c r="DY47" s="104" t="e">
        <f t="shared" si="117"/>
        <v>#DIV/0!</v>
      </c>
      <c r="DZ47" s="424">
        <v>902.1794</v>
      </c>
      <c r="EA47" s="104" t="e">
        <f t="shared" si="118"/>
        <v>#DIV/0!</v>
      </c>
      <c r="EB47" s="424">
        <v>898.243</v>
      </c>
      <c r="EC47" s="104" t="e">
        <f t="shared" si="119"/>
        <v>#DIV/0!</v>
      </c>
      <c r="ED47" s="424">
        <v>636.279</v>
      </c>
      <c r="EE47" s="104" t="e">
        <f t="shared" si="120"/>
        <v>#DIV/0!</v>
      </c>
      <c r="EF47" s="424">
        <v>786.1864</v>
      </c>
      <c r="EG47" s="104" t="e">
        <f t="shared" si="121"/>
        <v>#DIV/0!</v>
      </c>
      <c r="EH47" s="424">
        <v>748.9813</v>
      </c>
      <c r="EI47" s="104" t="e">
        <f t="shared" si="122"/>
        <v>#DIV/0!</v>
      </c>
      <c r="EJ47" s="424">
        <v>696.5487</v>
      </c>
      <c r="EK47" s="104" t="e">
        <f t="shared" si="123"/>
        <v>#DIV/0!</v>
      </c>
      <c r="EL47" s="424">
        <v>645.5003</v>
      </c>
      <c r="EM47" s="104" t="e">
        <f t="shared" si="124"/>
        <v>#DIV/0!</v>
      </c>
      <c r="EN47" s="93">
        <f t="shared" si="127"/>
        <v>10118.3181</v>
      </c>
      <c r="EO47" s="104" t="e">
        <v>#DIV/0!</v>
      </c>
      <c r="EP47" s="104"/>
      <c r="FN47" s="95">
        <v>0</v>
      </c>
      <c r="FO47" s="96"/>
      <c r="FP47" s="431"/>
      <c r="JL47" s="399">
        <v>0</v>
      </c>
      <c r="JM47" s="398"/>
      <c r="JN47" s="400"/>
      <c r="JO47" s="311"/>
      <c r="JP47" s="144"/>
      <c r="JQ47" s="144"/>
      <c r="JR47" s="144"/>
      <c r="JS47" s="144"/>
      <c r="JT47" s="144"/>
      <c r="JU47" s="144"/>
      <c r="JV47" s="144"/>
      <c r="JW47" s="144"/>
      <c r="JX47" s="144"/>
      <c r="JY47" s="144"/>
      <c r="JZ47" s="144"/>
      <c r="KA47" s="144"/>
    </row>
    <row r="48" s="286" customFormat="1" ht="28.8" hidden="1" customHeight="1" spans="1:287">
      <c r="A48" s="298" t="s">
        <v>105</v>
      </c>
      <c r="B48" s="164" t="s">
        <v>206</v>
      </c>
      <c r="C48" s="109">
        <v>146.7156</v>
      </c>
      <c r="D48" s="359">
        <f t="shared" si="76"/>
        <v>-0.0724153518851612</v>
      </c>
      <c r="E48" s="163">
        <v>164.4127</v>
      </c>
      <c r="F48" s="359">
        <f t="shared" si="77"/>
        <v>0.000593371763537354</v>
      </c>
      <c r="G48" s="163">
        <v>162.0982</v>
      </c>
      <c r="H48" s="359">
        <f t="shared" si="78"/>
        <v>-0.0541729756538737</v>
      </c>
      <c r="I48" s="163">
        <v>182.7013</v>
      </c>
      <c r="J48" s="359">
        <f t="shared" si="79"/>
        <v>-0.0815259330086774</v>
      </c>
      <c r="K48" s="163">
        <v>190.2239</v>
      </c>
      <c r="L48" s="359">
        <f t="shared" si="80"/>
        <v>-0.102590037547784</v>
      </c>
      <c r="M48" s="163">
        <v>170.9711</v>
      </c>
      <c r="N48" s="359">
        <f t="shared" si="81"/>
        <v>-0.0879979985906919</v>
      </c>
      <c r="O48" s="163">
        <v>194.4005</v>
      </c>
      <c r="P48" s="359">
        <f t="shared" si="82"/>
        <v>-0.128949234987295</v>
      </c>
      <c r="Q48" s="127"/>
      <c r="R48" s="127"/>
      <c r="S48" s="109">
        <f t="shared" si="95"/>
        <v>1211.5233</v>
      </c>
      <c r="T48" s="359">
        <f t="shared" si="96"/>
        <v>-0.216864402178129</v>
      </c>
      <c r="U48" s="359"/>
      <c r="V48" s="109">
        <v>158.1695</v>
      </c>
      <c r="W48" s="359">
        <f t="shared" si="83"/>
        <v>-0.00475569339809323</v>
      </c>
      <c r="X48" s="109">
        <v>164.3152</v>
      </c>
      <c r="Y48" s="359">
        <f t="shared" si="84"/>
        <v>-0.0257601243686257</v>
      </c>
      <c r="Z48" s="109">
        <v>171.3825</v>
      </c>
      <c r="AA48" s="359">
        <f t="shared" si="85"/>
        <v>0.00788571737739474</v>
      </c>
      <c r="AB48" s="109">
        <v>198.9183</v>
      </c>
      <c r="AC48" s="359">
        <f t="shared" si="86"/>
        <v>-0.00473072162142429</v>
      </c>
      <c r="AD48" s="109">
        <v>211.9699</v>
      </c>
      <c r="AE48" s="359">
        <f t="shared" si="87"/>
        <v>-0.0410389556336104</v>
      </c>
      <c r="AF48" s="109">
        <v>187.4679</v>
      </c>
      <c r="AG48" s="359">
        <f t="shared" si="88"/>
        <v>-0.0988870430935531</v>
      </c>
      <c r="AH48" s="109">
        <v>223.1793</v>
      </c>
      <c r="AI48" s="359">
        <f t="shared" si="89"/>
        <v>-0.0486207558028007</v>
      </c>
      <c r="AJ48" s="109">
        <v>231.6134</v>
      </c>
      <c r="AK48" s="359">
        <f t="shared" si="90"/>
        <v>-0.0647041126812889</v>
      </c>
      <c r="AL48" s="109">
        <v>182.6086</v>
      </c>
      <c r="AM48" s="359">
        <f t="shared" si="91"/>
        <v>-0.0708397869443365</v>
      </c>
      <c r="AN48" s="109">
        <v>185.0951</v>
      </c>
      <c r="AO48" s="359">
        <f t="shared" si="92"/>
        <v>-0.107557801747227</v>
      </c>
      <c r="AP48" s="109">
        <v>165.4614</v>
      </c>
      <c r="AQ48" s="359">
        <f t="shared" si="93"/>
        <v>-0.0574926874560321</v>
      </c>
      <c r="AR48" s="109">
        <v>150.5717</v>
      </c>
      <c r="AS48" s="359">
        <f t="shared" si="94"/>
        <v>-0.0365674110464934</v>
      </c>
      <c r="AT48" s="107">
        <f t="shared" si="97"/>
        <v>2230.7528</v>
      </c>
      <c r="AU48" s="359">
        <f t="shared" si="98"/>
        <v>-0.0485444529112947</v>
      </c>
      <c r="AV48" s="360"/>
      <c r="AW48" s="450">
        <v>158.9253</v>
      </c>
      <c r="AX48" s="361">
        <v>0.0474893916564834</v>
      </c>
      <c r="AY48" s="108">
        <v>168.6599</v>
      </c>
      <c r="AZ48" s="361">
        <f t="shared" si="65"/>
        <v>0.0377589168807899</v>
      </c>
      <c r="BA48" s="108">
        <v>170.0416</v>
      </c>
      <c r="BB48" s="361">
        <f t="shared" si="66"/>
        <v>-0.0713488361932433</v>
      </c>
      <c r="BC48" s="108">
        <v>199.8638</v>
      </c>
      <c r="BD48" s="361">
        <f t="shared" si="67"/>
        <v>-0.0402961359521011</v>
      </c>
      <c r="BE48" s="362">
        <v>221.0412</v>
      </c>
      <c r="BF48" s="361">
        <f t="shared" si="68"/>
        <v>0.0320328097248861</v>
      </c>
      <c r="BG48" s="108">
        <v>208.0404</v>
      </c>
      <c r="BH48" s="361">
        <f t="shared" si="69"/>
        <v>0.0416853599525724</v>
      </c>
      <c r="BI48" s="108">
        <v>234.585</v>
      </c>
      <c r="BJ48" s="361">
        <f t="shared" si="70"/>
        <v>-0.0528480773726442</v>
      </c>
      <c r="BK48" s="108">
        <v>247.6365</v>
      </c>
      <c r="BL48" s="361">
        <f t="shared" si="71"/>
        <v>-0.0302178124609608</v>
      </c>
      <c r="BM48" s="108">
        <v>196.5308</v>
      </c>
      <c r="BN48" s="361">
        <f t="shared" si="72"/>
        <v>-0.0369800507258023</v>
      </c>
      <c r="BO48" s="108">
        <v>207.4029</v>
      </c>
      <c r="BP48" s="361">
        <f t="shared" si="73"/>
        <v>-0.0161862142767695</v>
      </c>
      <c r="BQ48" s="108">
        <v>175.5545</v>
      </c>
      <c r="BR48" s="361">
        <f t="shared" si="74"/>
        <v>-0.0498760351377199</v>
      </c>
      <c r="BS48" s="108">
        <v>156.2867</v>
      </c>
      <c r="BT48" s="361">
        <f t="shared" si="75"/>
        <v>-0.0437402178475409</v>
      </c>
      <c r="BU48" s="108">
        <f t="shared" si="99"/>
        <v>2344.5686</v>
      </c>
      <c r="BV48" s="361">
        <f t="shared" si="100"/>
        <v>-0.0172102431152443</v>
      </c>
      <c r="BW48" s="364"/>
      <c r="BX48" s="450">
        <v>151.7202</v>
      </c>
      <c r="BY48" s="361">
        <f t="shared" si="101"/>
        <v>-0.076977830341059</v>
      </c>
      <c r="BZ48" s="450">
        <v>162.5232</v>
      </c>
      <c r="CA48" s="361">
        <f t="shared" si="102"/>
        <v>-0.0426504606108373</v>
      </c>
      <c r="CB48" s="108">
        <v>183.106</v>
      </c>
      <c r="CC48" s="361">
        <f t="shared" si="103"/>
        <v>0.129654272957728</v>
      </c>
      <c r="CD48" s="108">
        <v>208.2557</v>
      </c>
      <c r="CE48" s="361">
        <v>0.354335967577466</v>
      </c>
      <c r="CF48" s="363">
        <v>214.1804</v>
      </c>
      <c r="CG48" s="361">
        <f t="shared" si="104"/>
        <v>0.356221077933492</v>
      </c>
      <c r="CH48" s="363">
        <v>199.7152</v>
      </c>
      <c r="CI48" s="361">
        <f t="shared" si="105"/>
        <v>0.157291599061721</v>
      </c>
      <c r="CJ48" s="363">
        <v>247.6741</v>
      </c>
      <c r="CK48" s="361">
        <f t="shared" si="106"/>
        <v>0.12793392539738</v>
      </c>
      <c r="CL48" s="108">
        <v>255.3527</v>
      </c>
      <c r="CM48" s="361">
        <f t="shared" si="107"/>
        <v>0.163168997307453</v>
      </c>
      <c r="CN48" s="108">
        <v>204.0776</v>
      </c>
      <c r="CO48" s="361">
        <f t="shared" si="108"/>
        <v>0.691354085428972</v>
      </c>
      <c r="CP48" s="108">
        <v>210.8152</v>
      </c>
      <c r="CQ48" s="361">
        <f t="shared" si="109"/>
        <v>0.65159757824937</v>
      </c>
      <c r="CR48" s="108">
        <v>184.7701</v>
      </c>
      <c r="CS48" s="361">
        <f t="shared" si="110"/>
        <v>0.426309321451675</v>
      </c>
      <c r="CT48" s="108">
        <v>163.4354</v>
      </c>
      <c r="CU48" s="361">
        <f t="shared" si="111"/>
        <v>0.243916101799406</v>
      </c>
      <c r="CV48" s="108">
        <f t="shared" si="112"/>
        <v>2385.6258</v>
      </c>
      <c r="CW48" s="361">
        <f t="shared" si="113"/>
        <v>0.236818275845443</v>
      </c>
      <c r="CX48" s="365">
        <f t="shared" si="114"/>
        <v>-0.115466192852632</v>
      </c>
      <c r="CY48" s="365"/>
      <c r="CZ48" s="453">
        <v>164.3733</v>
      </c>
      <c r="DA48" s="450">
        <v>169.7637</v>
      </c>
      <c r="DB48" s="450">
        <v>162.0903</v>
      </c>
      <c r="DC48" s="450">
        <v>153.7696</v>
      </c>
      <c r="DD48" s="108">
        <v>157.9244</v>
      </c>
      <c r="DE48" s="108">
        <v>172.5712</v>
      </c>
      <c r="DF48" s="108">
        <v>219.5821</v>
      </c>
      <c r="DG48" s="108">
        <v>219.5319</v>
      </c>
      <c r="DH48" s="108">
        <v>120.6593</v>
      </c>
      <c r="DI48" s="108">
        <v>127.6432</v>
      </c>
      <c r="DJ48" s="108">
        <v>129.5442</v>
      </c>
      <c r="DK48" s="108">
        <v>131.3878</v>
      </c>
      <c r="DL48" s="108">
        <v>1928.841</v>
      </c>
      <c r="DM48" s="368">
        <v>-0.0809386253205843</v>
      </c>
      <c r="DN48" s="369"/>
      <c r="DO48" s="370">
        <v>157.1298</v>
      </c>
      <c r="DP48" s="371">
        <f t="shared" ref="DP48:DP57" si="128">(DO48-DX48)/DX48</f>
        <v>-0.150955385790845</v>
      </c>
      <c r="DQ48" s="388">
        <v>156.0712</v>
      </c>
      <c r="DR48" s="532"/>
      <c r="DS48" s="388">
        <v>157.6955</v>
      </c>
      <c r="DT48" s="373" t="e">
        <f t="shared" si="115"/>
        <v>#DIV/0!</v>
      </c>
      <c r="DU48" s="374"/>
      <c r="DV48" s="388">
        <v>181.933</v>
      </c>
      <c r="DW48" s="373">
        <f t="shared" si="116"/>
        <v>0.0142442296403291</v>
      </c>
      <c r="DX48" s="388">
        <v>185.0666</v>
      </c>
      <c r="DY48" s="373">
        <f t="shared" si="117"/>
        <v>0.0684225597350804</v>
      </c>
      <c r="DZ48" s="388">
        <v>183.5163</v>
      </c>
      <c r="EA48" s="373">
        <f t="shared" si="118"/>
        <v>0.0617821312442866</v>
      </c>
      <c r="EB48" s="388">
        <v>217.4233</v>
      </c>
      <c r="EC48" s="373">
        <f t="shared" si="119"/>
        <v>0.239179994688169</v>
      </c>
      <c r="ED48" s="388">
        <v>159.9243</v>
      </c>
      <c r="EE48" s="373">
        <f t="shared" si="120"/>
        <v>-0.115917697202214</v>
      </c>
      <c r="EF48" s="388">
        <v>169.5122</v>
      </c>
      <c r="EG48" s="373">
        <f t="shared" si="121"/>
        <v>-0.467929607288118</v>
      </c>
      <c r="EH48" s="388">
        <v>192.7755</v>
      </c>
      <c r="EI48" s="373">
        <f t="shared" si="122"/>
        <v>-0.115084403583813</v>
      </c>
      <c r="EJ48" s="388">
        <v>167.3068</v>
      </c>
      <c r="EK48" s="373">
        <f t="shared" si="123"/>
        <v>-0.40885605753049</v>
      </c>
      <c r="EL48" s="388">
        <v>170.353</v>
      </c>
      <c r="EM48" s="373">
        <f t="shared" si="124"/>
        <v>-0.402783572017038</v>
      </c>
      <c r="EN48" s="372">
        <f t="shared" si="127"/>
        <v>2098.7075</v>
      </c>
      <c r="EO48" s="373">
        <v>-0.104709152453063</v>
      </c>
      <c r="EP48" s="533">
        <v>357.6786</v>
      </c>
      <c r="EQ48" s="373">
        <v>0.135515376090146</v>
      </c>
      <c r="ER48" s="388">
        <v>0</v>
      </c>
      <c r="ES48" s="373">
        <f t="shared" ref="ES48:ES57" si="130">(ER48-FQ48)/FQ48</f>
        <v>-1</v>
      </c>
      <c r="ET48" s="388">
        <v>0</v>
      </c>
      <c r="EU48" s="373">
        <f t="shared" ref="EU48:EU57" si="131">(ET48-FR48)/FR48</f>
        <v>-1</v>
      </c>
      <c r="EV48" s="388">
        <v>179.3779</v>
      </c>
      <c r="EW48" s="373">
        <f t="shared" ref="EW48:EW57" si="132">(EV48-FS48)/FS48</f>
        <v>-0.425592402795795</v>
      </c>
      <c r="EX48" s="388">
        <v>173.2148</v>
      </c>
      <c r="EY48" s="373">
        <f t="shared" ref="EY48:EY57" si="133">(EX48-FT48)/FT48</f>
        <v>-0.462894348996439</v>
      </c>
      <c r="EZ48" s="388">
        <v>172.838</v>
      </c>
      <c r="FA48" s="373">
        <f t="shared" ref="FA48:FA57" si="134">(EZ48-FU48)/FU48</f>
        <v>-0.470036834767261</v>
      </c>
      <c r="FB48" s="388">
        <v>175.4574</v>
      </c>
      <c r="FC48" s="373">
        <f t="shared" ref="FC48:FC57" si="135">(FB48-FV48)/FV48</f>
        <v>-0.482955946875633</v>
      </c>
      <c r="FD48" s="388">
        <v>180.893</v>
      </c>
      <c r="FE48" s="373">
        <f t="shared" ref="FE48:FE57" si="136">(FD48-FW48)/FW48</f>
        <v>-0.463944819444058</v>
      </c>
      <c r="FF48" s="388">
        <v>318.5898</v>
      </c>
      <c r="FG48" s="373">
        <f t="shared" ref="FG48:FG57" si="137">(FF48-FX48)/FX48</f>
        <v>-0.0154337097735703</v>
      </c>
      <c r="FH48" s="388">
        <v>217.8462</v>
      </c>
      <c r="FI48" s="373">
        <f t="shared" ref="FI48:FI57" si="138">(FH48-FY48)/FY48</f>
        <v>-0.327936991258555</v>
      </c>
      <c r="FJ48" s="388">
        <v>283.0221</v>
      </c>
      <c r="FK48" s="373">
        <f t="shared" ref="FK48:FK57" si="139">(FJ48-GA48)/GA48</f>
        <v>-0.095349147185429</v>
      </c>
      <c r="FL48" s="388">
        <v>285.245</v>
      </c>
      <c r="FM48" s="368">
        <f t="shared" ref="FM48:FM57" si="140">(FL48-GC48)/GC48</f>
        <v>-0.115510054989727</v>
      </c>
      <c r="FN48" s="455">
        <v>2344.1628</v>
      </c>
      <c r="FO48" s="368">
        <f t="shared" ref="FO48:FO57" si="142">(FN48-(FP48+FQ48+FR48+FS48+FT48+FU48+FV48+FW48+FX48+FY48+GA48+GC48))/(FP48+FQ48+FR48+FS48+FT48+FU48+FV48+FW48+FX48+FY48+GA48+GC48)</f>
        <v>-0.400534832069476</v>
      </c>
      <c r="FP48" s="535">
        <v>314.9923</v>
      </c>
      <c r="FQ48" s="535">
        <v>349.3905</v>
      </c>
      <c r="FR48" s="535">
        <v>325.2512</v>
      </c>
      <c r="FS48" s="535">
        <v>312.2833</v>
      </c>
      <c r="FT48" s="535">
        <v>322.4967</v>
      </c>
      <c r="FU48" s="535">
        <v>326.1321</v>
      </c>
      <c r="FV48" s="596">
        <v>339.3471</v>
      </c>
      <c r="FW48" s="459">
        <v>337.4522</v>
      </c>
      <c r="FX48" s="459">
        <v>323.5839</v>
      </c>
      <c r="FY48" s="459">
        <v>324.1455</v>
      </c>
      <c r="FZ48" s="368">
        <f t="shared" ref="FZ48:FZ57" si="143">(FY48-HA48)/HA48</f>
        <v>0.0397813718247575</v>
      </c>
      <c r="GA48" s="459">
        <v>312.8523</v>
      </c>
      <c r="GB48" s="368">
        <f t="shared" ref="GB48:GB57" si="144">(GA48-HC48)/HC48</f>
        <v>0.0419050219885803</v>
      </c>
      <c r="GC48" s="459">
        <v>322.4966</v>
      </c>
      <c r="GD48" s="368">
        <f t="shared" ref="GD48:GD57" si="145">(GC48-HE48)/HE48</f>
        <v>0.0093967218204764</v>
      </c>
      <c r="GE48" s="455">
        <f t="shared" ref="GE48:GE57" si="146">FP48+FQ48+FR48+FS48+FT48+FU48+FV48+FW48+FX48+FY48+GA48+GC48</f>
        <v>3910.4237</v>
      </c>
      <c r="GF48" s="460">
        <f t="shared" ref="GF48:GF57" si="147">(GE48-HG48)/HG48</f>
        <v>0.0150952712951831</v>
      </c>
      <c r="GG48" s="317"/>
      <c r="GH48" s="536"/>
      <c r="GI48" s="379">
        <v>314.189</v>
      </c>
      <c r="GJ48" s="376">
        <f t="shared" ref="GJ48:GJ57" si="148">(GI48-HL48)/HL48</f>
        <v>-0.0800593092649058</v>
      </c>
      <c r="GK48" s="375">
        <v>354.9796</v>
      </c>
      <c r="GL48" s="376">
        <f t="shared" ref="GL48:GL57" si="149">(GK48-HN48)/HN48</f>
        <v>-0.0964566337893732</v>
      </c>
      <c r="GM48" s="533">
        <v>324.5382</v>
      </c>
      <c r="GN48" s="376">
        <f t="shared" ref="GN48:GN57" si="150">(GM48-HP48)/HP48</f>
        <v>0.0345165917567181</v>
      </c>
      <c r="GO48" s="533">
        <v>316.5763</v>
      </c>
      <c r="GP48" s="376">
        <f t="shared" ref="GP48:GP57" si="151">(GO48-HR48)/HR48</f>
        <v>0.0448062706270627</v>
      </c>
      <c r="GQ48" s="533">
        <v>316.8382</v>
      </c>
      <c r="GR48" s="376">
        <f t="shared" ref="GR48:GR57" si="152">(GQ48-HT48)/HT48</f>
        <v>0.0342245263150334</v>
      </c>
      <c r="GS48" s="375">
        <v>325.7154</v>
      </c>
      <c r="GT48" s="376">
        <f t="shared" ref="GT48:GT57" si="153">(GS48-HW48)/HW48</f>
        <v>0.00105294603605466</v>
      </c>
      <c r="GU48" s="375">
        <v>330.9061</v>
      </c>
      <c r="GV48" s="376">
        <f t="shared" ref="GV48:GV57" si="154">(GU48-HY48)/HY48</f>
        <v>0.0126011281925111</v>
      </c>
      <c r="GW48" s="375">
        <v>326.806</v>
      </c>
      <c r="GX48" s="376">
        <f t="shared" ref="GX48:GX57" si="155">(GW48-IA48)/IA48</f>
        <v>0.0170043237449968</v>
      </c>
      <c r="GY48" s="375">
        <v>310.216</v>
      </c>
      <c r="GZ48" s="376">
        <f t="shared" ref="GZ48:GZ57" si="156">(GY48-IC48)/IC48</f>
        <v>0.0455769858197144</v>
      </c>
      <c r="HA48" s="375">
        <v>311.7439</v>
      </c>
      <c r="HB48" s="376">
        <f t="shared" ref="HB48:HB57" si="157">(HA48-IE48)/IE48</f>
        <v>0.0328117545719587</v>
      </c>
      <c r="HC48" s="375">
        <v>300.2695</v>
      </c>
      <c r="HD48" s="376">
        <f t="shared" ref="HD48:HD57" si="158">(HC48-IG48)/IG48</f>
        <v>0.103704751962831</v>
      </c>
      <c r="HE48" s="375">
        <v>319.4944</v>
      </c>
      <c r="HF48" s="376">
        <f t="shared" ref="HF48:HF57" si="159">(HE48-II48)/II48</f>
        <v>0.0176825036129157</v>
      </c>
      <c r="HG48" s="375">
        <f t="shared" ref="HG48:HG57" si="160">GI48+GK48+GM48+GO48+GQ48+GS48+GU48+GW48+GY48+HA48+HC48+HE48</f>
        <v>3852.2726</v>
      </c>
      <c r="HH48" s="375">
        <f t="shared" ref="HH48:HH57" si="161">HE48+HC48+HA48+GY48+GW48+GU48+GS48+GQ48+GO48+GM48+GK48+GI48</f>
        <v>3852.2726</v>
      </c>
      <c r="HI48" s="377"/>
      <c r="HJ48" s="369"/>
      <c r="HK48" s="485"/>
      <c r="HL48" s="379">
        <v>341.5318</v>
      </c>
      <c r="HM48" s="380">
        <f t="shared" ref="HM48:HM57" si="162">(HL48-IN48)/IN48</f>
        <v>0.0294879384788268</v>
      </c>
      <c r="HN48" s="462">
        <v>392.875</v>
      </c>
      <c r="HO48" s="380">
        <f t="shared" ref="HO48:HO57" si="163">(HN48-IP48)/IP48</f>
        <v>-0.0596827130729653</v>
      </c>
      <c r="HP48" s="462">
        <v>313.71</v>
      </c>
      <c r="HQ48" s="466">
        <f t="shared" ref="HQ48:HQ57" si="164">(HP48-IR48)/IR48</f>
        <v>-0.0861726038793752</v>
      </c>
      <c r="HR48" s="464">
        <v>303</v>
      </c>
      <c r="HS48" s="465">
        <f t="shared" ref="HS48:HS57" si="165">(HR48-IT48)/IT48</f>
        <v>0.00742669640847395</v>
      </c>
      <c r="HT48" s="464">
        <v>306.3534</v>
      </c>
      <c r="HU48" s="465">
        <f t="shared" ref="HU48:HU57" si="166">(HT48-IV48)/IV48</f>
        <v>0.0170065780191581</v>
      </c>
      <c r="HV48" s="466"/>
      <c r="HW48" s="464">
        <v>325.3728</v>
      </c>
      <c r="HX48" s="465">
        <f t="shared" ref="HX48:HX57" si="167">(HW48-IX48)/IX48</f>
        <v>0.0180068362965106</v>
      </c>
      <c r="HY48" s="464">
        <v>326.7882</v>
      </c>
      <c r="HZ48" s="465">
        <f t="shared" ref="HZ48:HZ57" si="168">(HY48-IZ48)/IZ48</f>
        <v>0.0309546802079526</v>
      </c>
      <c r="IA48" s="464">
        <v>321.3418</v>
      </c>
      <c r="IB48" s="390">
        <f t="shared" ref="IB48:IB57" si="169">(IA48-JB48)/JB48</f>
        <v>0.0411375661804228</v>
      </c>
      <c r="IC48" s="464">
        <v>296.6936</v>
      </c>
      <c r="ID48" s="390">
        <f t="shared" ref="ID48:ID57" si="170">(IC48-JD48)/JD48</f>
        <v>0.0498344183979401</v>
      </c>
      <c r="IE48" s="559">
        <v>301.84</v>
      </c>
      <c r="IF48" s="377">
        <f t="shared" ref="IF48:IF57" si="171">(IE48-JF48)/JF48</f>
        <v>0.0461151572326607</v>
      </c>
      <c r="IG48" s="559">
        <v>272.056</v>
      </c>
      <c r="IH48" s="390">
        <f t="shared" ref="IH48:IH57" si="172">(IG48-JH48)/JH48</f>
        <v>0.0685624509033778</v>
      </c>
      <c r="II48" s="464">
        <v>313.9431</v>
      </c>
      <c r="IJ48" s="309">
        <f t="shared" ref="IJ48:IJ57" si="173">(II48-JJ48)/JJ48</f>
        <v>0.0484589368770098</v>
      </c>
      <c r="IK48" s="391">
        <f t="shared" ref="IK48:IK57" si="174">HL48+HN48+HP48+HR48+HT48+HW48+HY48+IA48+IC48+IE48+IG48+II48</f>
        <v>3815.5057</v>
      </c>
      <c r="IL48" s="104">
        <f t="shared" ref="IL48:IL57" si="175">IK48/JL48-1</f>
        <v>0.0133431504373185</v>
      </c>
      <c r="IM48" s="318"/>
      <c r="IN48" s="537">
        <v>331.7492</v>
      </c>
      <c r="IO48" s="300">
        <f t="shared" ref="IO48:IO57" si="176">IN48/JP48-1</f>
        <v>0.0908884745949392</v>
      </c>
      <c r="IP48" s="414">
        <v>417.8111</v>
      </c>
      <c r="IQ48" s="300">
        <f t="shared" ref="IQ48:IQ57" si="177">IP48/JQ48-1</f>
        <v>0.00124292962705908</v>
      </c>
      <c r="IR48" s="560">
        <v>343.2924</v>
      </c>
      <c r="IS48" s="394">
        <f t="shared" ref="IS48:IS57" si="178">(IR48-JR48)/JR48</f>
        <v>0.0240592954432108</v>
      </c>
      <c r="IT48" s="513">
        <v>300.7663</v>
      </c>
      <c r="IU48" s="413">
        <f t="shared" ref="IU48:IU57" si="179">(IT48-JS48)/JS48</f>
        <v>0.134245046112946</v>
      </c>
      <c r="IV48" s="513">
        <v>301.2305</v>
      </c>
      <c r="IW48" s="300">
        <f t="shared" ref="IW48:IW57" si="180">(IV48-JT48)/JT48</f>
        <v>0.138739139713135</v>
      </c>
      <c r="IX48" s="513">
        <v>319.6175</v>
      </c>
      <c r="IY48" s="413">
        <f t="shared" ref="IY48:IY57" si="181">(IX48-JU48)/JU48</f>
        <v>0.135434274212851</v>
      </c>
      <c r="IZ48" s="513">
        <v>316.9763</v>
      </c>
      <c r="JA48" s="413">
        <f t="shared" ref="JA48:JA57" si="182">(IZ48-JV48)/JV48</f>
        <v>0.129518607977612</v>
      </c>
      <c r="JB48" s="414">
        <v>308.6449</v>
      </c>
      <c r="JC48" s="413">
        <f t="shared" ref="JC48:JC57" si="183">(JB48-JW48)/JW48</f>
        <v>0.138302995420787</v>
      </c>
      <c r="JD48" s="414">
        <v>282.6099</v>
      </c>
      <c r="JE48" s="469">
        <f t="shared" ref="JE48:JE57" si="184">(JD48-JX48)/JX48</f>
        <v>0.0375016768412179</v>
      </c>
      <c r="JF48" s="414">
        <v>288.5342</v>
      </c>
      <c r="JG48" s="471">
        <f t="shared" ref="JG48:JG57" si="185">(JF48-JY48)/JY48</f>
        <v>0.0267970019364248</v>
      </c>
      <c r="JH48" s="487">
        <v>254.6</v>
      </c>
      <c r="JI48" s="380">
        <f t="shared" ref="JI48:JI57" si="186">(JH48-JZ48)/JZ48</f>
        <v>0.0105124593567613</v>
      </c>
      <c r="JJ48" s="472">
        <v>299.4329</v>
      </c>
      <c r="JK48" s="380">
        <f t="shared" ref="JK48:JK57" si="187">(JJ48-KA48)/KA48</f>
        <v>0.00137743856266762</v>
      </c>
      <c r="JL48" s="399">
        <f t="shared" si="126"/>
        <v>3765.2652</v>
      </c>
      <c r="JM48" s="398">
        <f t="shared" ref="JM48:JM57" si="188">JL48/JO48-1</f>
        <v>0.0684736515450457</v>
      </c>
      <c r="JN48" s="400"/>
      <c r="JO48" s="528">
        <v>3523.96635570312</v>
      </c>
      <c r="JP48" s="388">
        <v>304.109180476201</v>
      </c>
      <c r="JQ48" s="388">
        <v>417.292434869553</v>
      </c>
      <c r="JR48" s="388">
        <v>335.227072814591</v>
      </c>
      <c r="JS48" s="388">
        <v>265.168713789604</v>
      </c>
      <c r="JT48" s="388">
        <v>264.529855429299</v>
      </c>
      <c r="JU48" s="388">
        <v>281.493616371214</v>
      </c>
      <c r="JV48" s="388">
        <v>280.629551174497</v>
      </c>
      <c r="JW48" s="388">
        <v>271.144766588184</v>
      </c>
      <c r="JX48" s="388">
        <v>272.394644084273</v>
      </c>
      <c r="JY48" s="388">
        <v>281.004131737682</v>
      </c>
      <c r="JZ48" s="388">
        <v>251.951371447775</v>
      </c>
      <c r="KA48" s="388">
        <v>299.021016920246</v>
      </c>
    </row>
    <row r="49" ht="28.8" hidden="1" customHeight="1" spans="1:287">
      <c r="A49" s="28"/>
      <c r="B49" s="141" t="s">
        <v>209</v>
      </c>
      <c r="C49" s="163">
        <v>10684.8007</v>
      </c>
      <c r="D49" s="359">
        <f t="shared" si="76"/>
        <v>0.0891794572376348</v>
      </c>
      <c r="E49" s="163">
        <v>13255.0026</v>
      </c>
      <c r="F49" s="359">
        <f t="shared" si="77"/>
        <v>0.117912712060009</v>
      </c>
      <c r="G49" s="163">
        <v>13786.1171</v>
      </c>
      <c r="H49" s="359">
        <f t="shared" si="78"/>
        <v>0.174692143335253</v>
      </c>
      <c r="I49" s="163">
        <v>14831.9663</v>
      </c>
      <c r="J49" s="359">
        <f t="shared" si="79"/>
        <v>0.0420732699034427</v>
      </c>
      <c r="K49" s="163">
        <v>13914.4557</v>
      </c>
      <c r="L49" s="359">
        <f t="shared" si="80"/>
        <v>-0.0113665323304102</v>
      </c>
      <c r="M49" s="163">
        <v>12216.1679</v>
      </c>
      <c r="N49" s="359">
        <f t="shared" si="81"/>
        <v>-0.014161970671528</v>
      </c>
      <c r="O49" s="163">
        <v>14327.7602</v>
      </c>
      <c r="P49" s="359">
        <f t="shared" si="82"/>
        <v>-0.0291218514278547</v>
      </c>
      <c r="Q49" s="127"/>
      <c r="R49" s="127"/>
      <c r="S49" s="109">
        <f t="shared" si="95"/>
        <v>93016.2705</v>
      </c>
      <c r="T49" s="359">
        <f t="shared" si="96"/>
        <v>-0.098852919813019</v>
      </c>
      <c r="U49" s="359"/>
      <c r="V49" s="163">
        <v>9809.9543</v>
      </c>
      <c r="W49" s="359">
        <f t="shared" si="83"/>
        <v>-0.0789879049518225</v>
      </c>
      <c r="X49" s="93">
        <v>11856.9209</v>
      </c>
      <c r="Y49" s="402">
        <f t="shared" si="84"/>
        <v>-0.0759822229545628</v>
      </c>
      <c r="Z49" s="93">
        <v>11735.9405</v>
      </c>
      <c r="AA49" s="402">
        <f t="shared" si="85"/>
        <v>-0.0160517928950228</v>
      </c>
      <c r="AB49" s="93">
        <v>14233.1319</v>
      </c>
      <c r="AC49" s="402">
        <f t="shared" si="86"/>
        <v>0.0358616823576945</v>
      </c>
      <c r="AD49" s="93">
        <v>14074.4332</v>
      </c>
      <c r="AE49" s="402">
        <f t="shared" si="87"/>
        <v>-0.0407968754848388</v>
      </c>
      <c r="AF49" s="93">
        <v>12391.6582</v>
      </c>
      <c r="AG49" s="402">
        <f t="shared" si="88"/>
        <v>-0.113889138295201</v>
      </c>
      <c r="AH49" s="93">
        <v>14757.5267</v>
      </c>
      <c r="AI49" s="402">
        <f t="shared" si="89"/>
        <v>-0.0475360397317872</v>
      </c>
      <c r="AJ49" s="93">
        <v>14360.2888</v>
      </c>
      <c r="AK49" s="402">
        <f t="shared" si="90"/>
        <v>-0.0551707968798998</v>
      </c>
      <c r="AL49" s="93">
        <v>11934.8122</v>
      </c>
      <c r="AM49" s="402">
        <f t="shared" si="91"/>
        <v>-0.0946443498057074</v>
      </c>
      <c r="AN49" s="93">
        <v>11428.8009</v>
      </c>
      <c r="AO49" s="402">
        <f t="shared" si="92"/>
        <v>-0.106839257806364</v>
      </c>
      <c r="AP49" s="93">
        <v>11283.7082</v>
      </c>
      <c r="AQ49" s="402">
        <f t="shared" si="93"/>
        <v>0.00118111194063908</v>
      </c>
      <c r="AR49" s="93">
        <v>10386.9353</v>
      </c>
      <c r="AS49" s="402">
        <f t="shared" si="94"/>
        <v>0.0983713748614905</v>
      </c>
      <c r="AT49" s="107">
        <f t="shared" si="97"/>
        <v>148254.1111</v>
      </c>
      <c r="AU49" s="359">
        <f t="shared" si="98"/>
        <v>-0.0447953082553804</v>
      </c>
      <c r="AV49" s="360"/>
      <c r="AW49" s="473">
        <v>10651.2763</v>
      </c>
      <c r="AX49" s="474">
        <v>0.123244325076803</v>
      </c>
      <c r="AY49" s="448">
        <v>12831.9186</v>
      </c>
      <c r="AZ49" s="475">
        <f t="shared" si="65"/>
        <v>0.150311994076788</v>
      </c>
      <c r="BA49" s="448">
        <v>11927.3966</v>
      </c>
      <c r="BB49" s="475">
        <f t="shared" si="66"/>
        <v>0.0116509184339018</v>
      </c>
      <c r="BC49" s="448">
        <v>13740.3788</v>
      </c>
      <c r="BD49" s="475">
        <f t="shared" si="67"/>
        <v>0.130797018412423</v>
      </c>
      <c r="BE49" s="476">
        <v>14673.0477</v>
      </c>
      <c r="BF49" s="475">
        <f t="shared" si="68"/>
        <v>0.200889942244281</v>
      </c>
      <c r="BG49" s="163">
        <v>13984.3204</v>
      </c>
      <c r="BH49" s="475">
        <f t="shared" si="69"/>
        <v>0.160057622617579</v>
      </c>
      <c r="BI49" s="163">
        <v>15494.0526</v>
      </c>
      <c r="BJ49" s="475">
        <f t="shared" si="70"/>
        <v>-0.281874602929891</v>
      </c>
      <c r="BK49" s="163">
        <v>15198.8198</v>
      </c>
      <c r="BL49" s="475">
        <f t="shared" si="71"/>
        <v>0.0401474649442914</v>
      </c>
      <c r="BM49" s="163">
        <v>13182.4573</v>
      </c>
      <c r="BN49" s="475">
        <f t="shared" si="72"/>
        <v>0.017375761539963</v>
      </c>
      <c r="BO49" s="163">
        <v>12795.906</v>
      </c>
      <c r="BP49" s="475">
        <f t="shared" si="73"/>
        <v>-0.0252624783430485</v>
      </c>
      <c r="BQ49" s="163">
        <v>11270.3966</v>
      </c>
      <c r="BR49" s="475">
        <f t="shared" si="74"/>
        <v>-0.0486147106289575</v>
      </c>
      <c r="BS49" s="163">
        <v>9456.6697</v>
      </c>
      <c r="BT49" s="475">
        <f t="shared" si="75"/>
        <v>-0.113326145870491</v>
      </c>
      <c r="BU49" s="109">
        <f t="shared" si="99"/>
        <v>155206.6404</v>
      </c>
      <c r="BV49" s="359">
        <f t="shared" si="100"/>
        <v>0.0102196009999476</v>
      </c>
      <c r="BW49" s="429"/>
      <c r="BX49" s="473">
        <v>9482.5997</v>
      </c>
      <c r="BY49" s="475">
        <f t="shared" si="101"/>
        <v>-0.0499994009023093</v>
      </c>
      <c r="BZ49" s="473">
        <v>11155.1637</v>
      </c>
      <c r="CA49" s="475">
        <f t="shared" si="102"/>
        <v>0.0310023447172436</v>
      </c>
      <c r="CB49" s="448">
        <v>11790.0319</v>
      </c>
      <c r="CC49" s="359">
        <f t="shared" si="103"/>
        <v>0.231096637973978</v>
      </c>
      <c r="CD49" s="109">
        <v>12151.0568</v>
      </c>
      <c r="CE49" s="359">
        <v>0.365284059442107</v>
      </c>
      <c r="CF49" s="163">
        <v>12218.4783</v>
      </c>
      <c r="CG49" s="359">
        <f t="shared" si="104"/>
        <v>0.340972167202652</v>
      </c>
      <c r="CH49" s="163">
        <v>12054.8498</v>
      </c>
      <c r="CI49" s="359">
        <f t="shared" si="105"/>
        <v>0.225713830109391</v>
      </c>
      <c r="CJ49" s="163">
        <v>21575.6923</v>
      </c>
      <c r="CK49" s="359">
        <f t="shared" si="106"/>
        <v>0.7124023181223</v>
      </c>
      <c r="CL49" s="109">
        <v>14612.1779</v>
      </c>
      <c r="CM49" s="359">
        <f t="shared" si="107"/>
        <v>0.165632187342796</v>
      </c>
      <c r="CN49" s="109">
        <v>12957.3141</v>
      </c>
      <c r="CO49" s="359">
        <f t="shared" si="108"/>
        <v>0.863921694573172</v>
      </c>
      <c r="CP49" s="109">
        <v>13127.5402</v>
      </c>
      <c r="CQ49" s="359">
        <f t="shared" si="109"/>
        <v>0.931034045522692</v>
      </c>
      <c r="CR49" s="109">
        <v>11846.3011</v>
      </c>
      <c r="CS49" s="359">
        <f t="shared" si="110"/>
        <v>0.76869818522383</v>
      </c>
      <c r="CT49" s="109">
        <v>10665.3305</v>
      </c>
      <c r="CU49" s="359">
        <f t="shared" si="111"/>
        <v>0.520968854375303</v>
      </c>
      <c r="CV49" s="109">
        <f t="shared" si="112"/>
        <v>153636.5363</v>
      </c>
      <c r="CW49" s="359">
        <f t="shared" si="113"/>
        <v>0.386358835958004</v>
      </c>
      <c r="CX49" s="408">
        <f t="shared" si="114"/>
        <v>-0.0996910841646597</v>
      </c>
      <c r="CY49" s="408"/>
      <c r="CZ49" s="477">
        <v>9981.6776</v>
      </c>
      <c r="DA49" s="473">
        <v>10819.7268</v>
      </c>
      <c r="DB49" s="473">
        <v>9576.8533</v>
      </c>
      <c r="DC49" s="473">
        <v>8900.021</v>
      </c>
      <c r="DD49" s="448">
        <v>9111.6569</v>
      </c>
      <c r="DE49" s="448">
        <v>9834.9627</v>
      </c>
      <c r="DF49" s="448">
        <v>12599.6631</v>
      </c>
      <c r="DG49" s="448">
        <v>12535.8394</v>
      </c>
      <c r="DH49" s="448">
        <v>6951.6408</v>
      </c>
      <c r="DI49" s="448">
        <v>6798.192</v>
      </c>
      <c r="DJ49" s="448">
        <v>6697.7516</v>
      </c>
      <c r="DK49" s="448">
        <v>7012.1952</v>
      </c>
      <c r="DL49" s="448">
        <v>110820.1804</v>
      </c>
      <c r="DM49" s="449">
        <v>-0.140202437803909</v>
      </c>
      <c r="DN49" s="411"/>
      <c r="DO49" s="412">
        <v>10852.842</v>
      </c>
      <c r="DP49" s="87">
        <f t="shared" si="128"/>
        <v>-0.0664681674816444</v>
      </c>
      <c r="DQ49" s="424">
        <v>11199.2777</v>
      </c>
      <c r="DR49" s="304"/>
      <c r="DS49" s="424">
        <v>10659.1566</v>
      </c>
      <c r="DT49" s="104" t="e">
        <f t="shared" si="115"/>
        <v>#DIV/0!</v>
      </c>
      <c r="DU49" s="103"/>
      <c r="DV49" s="424">
        <v>11378.8182</v>
      </c>
      <c r="DW49" s="104">
        <f t="shared" si="116"/>
        <v>0.0056065560125924</v>
      </c>
      <c r="DX49" s="424">
        <v>11625.5725</v>
      </c>
      <c r="DY49" s="104">
        <f t="shared" si="117"/>
        <v>0.0812625168574477</v>
      </c>
      <c r="DZ49" s="424">
        <v>10837.8957</v>
      </c>
      <c r="EA49" s="104">
        <f t="shared" si="118"/>
        <v>0.00966513534510654</v>
      </c>
      <c r="EB49" s="424">
        <v>13230.2389</v>
      </c>
      <c r="EC49" s="104">
        <f t="shared" si="119"/>
        <v>0.219408584243625</v>
      </c>
      <c r="ED49" s="424">
        <v>9402.6116</v>
      </c>
      <c r="EE49" s="104">
        <f t="shared" si="120"/>
        <v>-0.163678610232064</v>
      </c>
      <c r="EF49" s="424">
        <v>9915.5849</v>
      </c>
      <c r="EG49" s="104">
        <f t="shared" si="121"/>
        <v>-0.197526645419872</v>
      </c>
      <c r="EH49" s="424">
        <v>10886.9607</v>
      </c>
      <c r="EI49" s="104">
        <f t="shared" si="122"/>
        <v>0.00568971913138029</v>
      </c>
      <c r="EJ49" s="424">
        <v>9517.9172</v>
      </c>
      <c r="EK49" s="104">
        <f t="shared" si="123"/>
        <v>-0.155365122070902</v>
      </c>
      <c r="EL49" s="424">
        <v>9384.1389</v>
      </c>
      <c r="EM49" s="104">
        <f t="shared" si="124"/>
        <v>-0.0538057724918731</v>
      </c>
      <c r="EN49" s="93">
        <f t="shared" si="127"/>
        <v>128891.0149</v>
      </c>
      <c r="EO49" s="104">
        <v>0.0836957600365201</v>
      </c>
      <c r="EP49" s="515">
        <v>19674.5207</v>
      </c>
      <c r="EQ49" s="104">
        <v>0.165406443132692</v>
      </c>
      <c r="ER49" s="424">
        <v>0</v>
      </c>
      <c r="ES49" s="104">
        <f t="shared" si="130"/>
        <v>-1</v>
      </c>
      <c r="ET49" s="424">
        <v>0</v>
      </c>
      <c r="EU49" s="104">
        <f t="shared" si="131"/>
        <v>-1</v>
      </c>
      <c r="EV49" s="424">
        <v>11315.3779</v>
      </c>
      <c r="EW49" s="104">
        <f t="shared" si="132"/>
        <v>-0.344260239334296</v>
      </c>
      <c r="EX49" s="424">
        <v>10751.8501</v>
      </c>
      <c r="EY49" s="104">
        <f t="shared" si="133"/>
        <v>-0.402864836982438</v>
      </c>
      <c r="EZ49" s="424">
        <v>10734.1487</v>
      </c>
      <c r="FA49" s="104">
        <f t="shared" si="134"/>
        <v>-0.405458535081977</v>
      </c>
      <c r="FB49" s="424">
        <v>10849.7177</v>
      </c>
      <c r="FC49" s="104">
        <f t="shared" si="135"/>
        <v>-0.519134979056986</v>
      </c>
      <c r="FD49" s="424">
        <v>11242.8209</v>
      </c>
      <c r="FE49" s="104">
        <f t="shared" si="136"/>
        <v>-0.445790275309484</v>
      </c>
      <c r="FF49" s="424">
        <v>12356.2793</v>
      </c>
      <c r="FG49" s="104">
        <f t="shared" si="137"/>
        <v>-0.389937570586555</v>
      </c>
      <c r="FH49" s="424">
        <v>10825.3674</v>
      </c>
      <c r="FI49" s="104">
        <f t="shared" si="138"/>
        <v>-0.439958110184908</v>
      </c>
      <c r="FJ49" s="424">
        <v>11268.6765</v>
      </c>
      <c r="FK49" s="104">
        <f t="shared" si="139"/>
        <v>-0.368433685146439</v>
      </c>
      <c r="FL49" s="424">
        <v>9917.7723</v>
      </c>
      <c r="FM49" s="104">
        <f t="shared" si="140"/>
        <v>-0.451403002931151</v>
      </c>
      <c r="FN49" s="103">
        <v>118936.5315</v>
      </c>
      <c r="FO49" s="104">
        <f t="shared" si="142"/>
        <v>-0.497747929405774</v>
      </c>
      <c r="FP49" s="515">
        <v>16882.1108</v>
      </c>
      <c r="FQ49" s="515">
        <v>23465.9893</v>
      </c>
      <c r="FR49" s="515">
        <v>24788.5477</v>
      </c>
      <c r="FS49" s="515">
        <v>17255.8972</v>
      </c>
      <c r="FT49" s="515">
        <v>18005.7226</v>
      </c>
      <c r="FU49" s="515">
        <v>18054.4997</v>
      </c>
      <c r="FV49" s="597">
        <v>22562.9173</v>
      </c>
      <c r="FW49" s="480">
        <v>20286.2209</v>
      </c>
      <c r="FX49" s="480">
        <v>20254.1227</v>
      </c>
      <c r="FY49" s="480">
        <v>19329.5673</v>
      </c>
      <c r="FZ49" s="413">
        <f t="shared" si="143"/>
        <v>0.0107982548723933</v>
      </c>
      <c r="GA49" s="480">
        <v>17842.428</v>
      </c>
      <c r="GB49" s="413">
        <f t="shared" si="144"/>
        <v>0.0842853909976853</v>
      </c>
      <c r="GC49" s="480">
        <v>18078.4298</v>
      </c>
      <c r="GD49" s="413">
        <f t="shared" si="145"/>
        <v>0.0730956464188914</v>
      </c>
      <c r="GE49" s="414">
        <f t="shared" si="146"/>
        <v>236806.4533</v>
      </c>
      <c r="GF49" s="481">
        <f t="shared" si="147"/>
        <v>0.0164316358683519</v>
      </c>
      <c r="GG49" s="415"/>
      <c r="GH49" s="318"/>
      <c r="GI49" s="417">
        <v>16419.1918</v>
      </c>
      <c r="GJ49" s="104">
        <f t="shared" si="148"/>
        <v>-0.0290995723659032</v>
      </c>
      <c r="GK49" s="103">
        <v>24425.7629</v>
      </c>
      <c r="GL49" s="104">
        <f t="shared" si="149"/>
        <v>-0.174453909276505</v>
      </c>
      <c r="GM49" s="424">
        <v>24618.8954</v>
      </c>
      <c r="GN49" s="104">
        <f t="shared" si="150"/>
        <v>0.188059963526563</v>
      </c>
      <c r="GO49" s="424">
        <v>17778.4208</v>
      </c>
      <c r="GP49" s="104">
        <f t="shared" si="151"/>
        <v>-0.0118777728516725</v>
      </c>
      <c r="GQ49" s="424">
        <v>17204.9674</v>
      </c>
      <c r="GR49" s="104">
        <f t="shared" si="152"/>
        <v>-0.0853005067327831</v>
      </c>
      <c r="GS49" s="103">
        <v>17652.9108</v>
      </c>
      <c r="GT49" s="104">
        <f t="shared" si="153"/>
        <v>6.60784551130191e-5</v>
      </c>
      <c r="GU49" s="103">
        <v>21743.4582</v>
      </c>
      <c r="GV49" s="104">
        <f t="shared" si="154"/>
        <v>0.0105127594705691</v>
      </c>
      <c r="GW49" s="103">
        <v>20890.9517</v>
      </c>
      <c r="GX49" s="104">
        <f t="shared" si="155"/>
        <v>0.00493774278194621</v>
      </c>
      <c r="GY49" s="103">
        <v>19818.1488</v>
      </c>
      <c r="GZ49" s="104">
        <f t="shared" si="156"/>
        <v>-0.0244739235292338</v>
      </c>
      <c r="HA49" s="103">
        <v>19123.0715</v>
      </c>
      <c r="HB49" s="104">
        <f t="shared" si="157"/>
        <v>0.0109992746505157</v>
      </c>
      <c r="HC49" s="103">
        <v>16455.4721</v>
      </c>
      <c r="HD49" s="104">
        <f t="shared" si="158"/>
        <v>0.0179380026918321</v>
      </c>
      <c r="HE49" s="103">
        <v>16846.9883</v>
      </c>
      <c r="HF49" s="104">
        <f t="shared" si="159"/>
        <v>0.0222080635422498</v>
      </c>
      <c r="HG49" s="414">
        <f t="shared" si="160"/>
        <v>232978.2397</v>
      </c>
      <c r="HH49" s="103">
        <f t="shared" si="161"/>
        <v>232978.2397</v>
      </c>
      <c r="HI49" s="394"/>
      <c r="HJ49" s="411"/>
      <c r="HK49" s="493"/>
      <c r="HL49" s="417">
        <v>16911.3035</v>
      </c>
      <c r="HM49" s="418">
        <f t="shared" si="162"/>
        <v>-0.0525002641141029</v>
      </c>
      <c r="HN49" s="421">
        <v>29587.4006</v>
      </c>
      <c r="HO49" s="418">
        <f t="shared" si="163"/>
        <v>-0.00472918957766464</v>
      </c>
      <c r="HP49" s="421">
        <v>20721.93</v>
      </c>
      <c r="HQ49" s="423">
        <f t="shared" si="164"/>
        <v>-0.0977164655810435</v>
      </c>
      <c r="HR49" s="439">
        <v>17992.1272</v>
      </c>
      <c r="HS49" s="304">
        <f t="shared" si="165"/>
        <v>0.0186931994584862</v>
      </c>
      <c r="HT49" s="439">
        <v>18809.4205</v>
      </c>
      <c r="HU49" s="304">
        <f t="shared" si="166"/>
        <v>0.0113984025134127</v>
      </c>
      <c r="HV49" s="423"/>
      <c r="HW49" s="439">
        <v>17651.7444</v>
      </c>
      <c r="HX49" s="304">
        <f t="shared" si="167"/>
        <v>0.0286522434270504</v>
      </c>
      <c r="HY49" s="439">
        <v>21517.2525</v>
      </c>
      <c r="HZ49" s="304">
        <f t="shared" si="168"/>
        <v>0.0345286235282444</v>
      </c>
      <c r="IA49" s="439">
        <v>20788.3044</v>
      </c>
      <c r="IB49" s="422">
        <f t="shared" si="169"/>
        <v>0.0301618223357242</v>
      </c>
      <c r="IC49" s="439">
        <v>20315.345</v>
      </c>
      <c r="ID49" s="425">
        <f t="shared" si="170"/>
        <v>-0.00407135481317131</v>
      </c>
      <c r="IE49" s="565">
        <v>18915.02</v>
      </c>
      <c r="IF49" s="500">
        <f t="shared" si="171"/>
        <v>0.0401938736753599</v>
      </c>
      <c r="IG49" s="565">
        <v>16165.4954</v>
      </c>
      <c r="IH49" s="309">
        <f t="shared" si="172"/>
        <v>0.0395395011361339</v>
      </c>
      <c r="II49" s="439">
        <v>16480.9777</v>
      </c>
      <c r="IJ49" s="309">
        <f t="shared" si="173"/>
        <v>0.0175572106124131</v>
      </c>
      <c r="IK49" s="391">
        <f t="shared" si="174"/>
        <v>235856.3212</v>
      </c>
      <c r="IL49" s="104">
        <f t="shared" si="175"/>
        <v>0.00249036116687118</v>
      </c>
      <c r="IM49" s="318"/>
      <c r="IN49" s="518">
        <v>17848.3464</v>
      </c>
      <c r="IO49" s="104">
        <f t="shared" si="176"/>
        <v>-0.0653126525673992</v>
      </c>
      <c r="IP49" s="103">
        <v>29727.9899</v>
      </c>
      <c r="IQ49" s="304">
        <f t="shared" si="177"/>
        <v>0.13140278809934</v>
      </c>
      <c r="IR49" s="424">
        <v>22966.0957</v>
      </c>
      <c r="IS49" s="394">
        <f t="shared" si="178"/>
        <v>-0.0080435209460604</v>
      </c>
      <c r="IT49" s="517">
        <v>17661.9685</v>
      </c>
      <c r="IU49" s="104">
        <f t="shared" si="179"/>
        <v>-0.0748515312063399</v>
      </c>
      <c r="IV49" s="517">
        <v>18597.4394</v>
      </c>
      <c r="IW49" s="304">
        <f t="shared" si="180"/>
        <v>-0.18088520385761</v>
      </c>
      <c r="IX49" s="517">
        <v>17160.0699</v>
      </c>
      <c r="IY49" s="104">
        <f t="shared" si="181"/>
        <v>-0.166402561670134</v>
      </c>
      <c r="IZ49" s="517">
        <v>20799.0886</v>
      </c>
      <c r="JA49" s="104">
        <f t="shared" si="182"/>
        <v>-0.0456149044853059</v>
      </c>
      <c r="JB49" s="103">
        <v>20179.6494</v>
      </c>
      <c r="JC49" s="104">
        <f t="shared" si="183"/>
        <v>-0.0489723614279369</v>
      </c>
      <c r="JD49" s="103">
        <v>20398.3941</v>
      </c>
      <c r="JE49" s="394">
        <f t="shared" si="184"/>
        <v>-0.126719794534604</v>
      </c>
      <c r="JF49" s="103">
        <v>18184.1294</v>
      </c>
      <c r="JG49" s="418">
        <f t="shared" si="185"/>
        <v>-0.115655871707081</v>
      </c>
      <c r="JH49" s="103">
        <v>15550.6312</v>
      </c>
      <c r="JI49" s="418">
        <f t="shared" si="186"/>
        <v>-0.138556090381895</v>
      </c>
      <c r="JJ49" s="103">
        <v>16196.6104</v>
      </c>
      <c r="JK49" s="418">
        <f t="shared" si="187"/>
        <v>-0.478866202820289</v>
      </c>
      <c r="JL49" s="399">
        <f t="shared" si="126"/>
        <v>235270.4129</v>
      </c>
      <c r="JM49" s="398">
        <f t="shared" si="188"/>
        <v>-0.11873179134145</v>
      </c>
      <c r="JN49" s="400"/>
      <c r="JO49" s="518">
        <v>266968.002009427</v>
      </c>
      <c r="JP49" s="424">
        <v>19095.5258451137</v>
      </c>
      <c r="JQ49" s="424">
        <v>26275.3373181451</v>
      </c>
      <c r="JR49" s="424">
        <v>23152.3218860403</v>
      </c>
      <c r="JS49" s="424">
        <v>19090.9557717046</v>
      </c>
      <c r="JT49" s="424">
        <v>22704.3138368204</v>
      </c>
      <c r="JU49" s="424">
        <v>20585.5597809665</v>
      </c>
      <c r="JV49" s="424">
        <v>21793.1825399926</v>
      </c>
      <c r="JW49" s="424">
        <v>21218.7833261072</v>
      </c>
      <c r="JX49" s="424">
        <v>23358.3607785191</v>
      </c>
      <c r="JY49" s="424">
        <v>20562.2775322786</v>
      </c>
      <c r="JZ49" s="424">
        <v>18051.8209327104</v>
      </c>
      <c r="KA49" s="424">
        <v>31079.5624610289</v>
      </c>
    </row>
    <row r="50" s="286" customFormat="1" ht="28.8" hidden="1" customHeight="1" spans="1:287">
      <c r="A50" s="298" t="s">
        <v>106</v>
      </c>
      <c r="B50" s="164" t="s">
        <v>206</v>
      </c>
      <c r="C50" s="109">
        <v>9.2372</v>
      </c>
      <c r="D50" s="359">
        <f t="shared" si="76"/>
        <v>0.268131958649662</v>
      </c>
      <c r="E50" s="163">
        <v>9.1901</v>
      </c>
      <c r="F50" s="359">
        <f t="shared" si="77"/>
        <v>0.273872725004505</v>
      </c>
      <c r="G50" s="163">
        <v>9.1723</v>
      </c>
      <c r="H50" s="359">
        <f t="shared" si="78"/>
        <v>0.321333390956106</v>
      </c>
      <c r="I50" s="163">
        <v>9.1413</v>
      </c>
      <c r="J50" s="359">
        <f t="shared" si="79"/>
        <v>0.34436813388826</v>
      </c>
      <c r="K50" s="163">
        <v>9.3403</v>
      </c>
      <c r="L50" s="359">
        <f t="shared" si="80"/>
        <v>0.345864553314121</v>
      </c>
      <c r="M50" s="163">
        <v>9.9419</v>
      </c>
      <c r="N50" s="359">
        <f t="shared" si="81"/>
        <v>0.00159176312952725</v>
      </c>
      <c r="O50" s="163">
        <v>9.9314</v>
      </c>
      <c r="P50" s="359">
        <f t="shared" si="82"/>
        <v>-0.0148495699874021</v>
      </c>
      <c r="Q50" s="127"/>
      <c r="R50" s="127"/>
      <c r="S50" s="109">
        <f t="shared" si="95"/>
        <v>65.9545</v>
      </c>
      <c r="T50" s="359">
        <f t="shared" si="96"/>
        <v>0.011424715723936</v>
      </c>
      <c r="U50" s="359"/>
      <c r="V50" s="109">
        <v>7.2841</v>
      </c>
      <c r="W50" s="359">
        <f t="shared" si="83"/>
        <v>-0.196609571288341</v>
      </c>
      <c r="X50" s="109">
        <v>7.2143</v>
      </c>
      <c r="Y50" s="359">
        <f t="shared" si="84"/>
        <v>-0.132792402933045</v>
      </c>
      <c r="Z50" s="109">
        <v>6.9417</v>
      </c>
      <c r="AA50" s="359">
        <f t="shared" si="85"/>
        <v>-0.12824473495837</v>
      </c>
      <c r="AB50" s="109">
        <v>6.7997</v>
      </c>
      <c r="AC50" s="359">
        <f t="shared" si="86"/>
        <v>-0.142599551105843</v>
      </c>
      <c r="AD50" s="109">
        <v>6.94</v>
      </c>
      <c r="AE50" s="359">
        <f t="shared" si="87"/>
        <v>-0.131805444355484</v>
      </c>
      <c r="AF50" s="109">
        <v>9.9261</v>
      </c>
      <c r="AG50" s="359">
        <f t="shared" si="88"/>
        <v>0.219167987029736</v>
      </c>
      <c r="AH50" s="109">
        <v>10.0811</v>
      </c>
      <c r="AI50" s="359">
        <f t="shared" si="89"/>
        <v>0.279847146049157</v>
      </c>
      <c r="AJ50" s="109">
        <v>10.0225</v>
      </c>
      <c r="AK50" s="359">
        <f t="shared" si="90"/>
        <v>0.295850949665775</v>
      </c>
      <c r="AL50" s="109">
        <v>10.8021</v>
      </c>
      <c r="AM50" s="359">
        <f t="shared" si="91"/>
        <v>0.40115962331699</v>
      </c>
      <c r="AN50" s="109">
        <v>9.6101</v>
      </c>
      <c r="AO50" s="359">
        <f t="shared" si="92"/>
        <v>0.197385962944965</v>
      </c>
      <c r="AP50" s="109">
        <v>9.3551</v>
      </c>
      <c r="AQ50" s="359">
        <f t="shared" si="93"/>
        <v>0.151226895720017</v>
      </c>
      <c r="AR50" s="109">
        <v>9.2859</v>
      </c>
      <c r="AS50" s="359">
        <f t="shared" si="94"/>
        <v>0.12923192917599</v>
      </c>
      <c r="AT50" s="107">
        <f t="shared" si="97"/>
        <v>104.2627</v>
      </c>
      <c r="AU50" s="359">
        <f t="shared" si="98"/>
        <v>0.0736523314210744</v>
      </c>
      <c r="AV50" s="360"/>
      <c r="AW50" s="450">
        <v>9.0667</v>
      </c>
      <c r="AX50" s="361">
        <v>-0.0920952495393734</v>
      </c>
      <c r="AY50" s="108">
        <v>8.319</v>
      </c>
      <c r="AZ50" s="361">
        <f t="shared" si="65"/>
        <v>-0.117216350439323</v>
      </c>
      <c r="BA50" s="108">
        <v>7.9629</v>
      </c>
      <c r="BB50" s="361">
        <f t="shared" si="66"/>
        <v>-0.142686419327749</v>
      </c>
      <c r="BC50" s="108">
        <v>7.9306</v>
      </c>
      <c r="BD50" s="361">
        <f t="shared" si="67"/>
        <v>-0.155240732850447</v>
      </c>
      <c r="BE50" s="483">
        <v>7.9936</v>
      </c>
      <c r="BF50" s="361">
        <f t="shared" si="68"/>
        <v>-0.156926646627643</v>
      </c>
      <c r="BG50" s="363">
        <v>8.1417</v>
      </c>
      <c r="BH50" s="361">
        <f t="shared" si="69"/>
        <v>-0.139518907607432</v>
      </c>
      <c r="BI50" s="363">
        <v>7.8768</v>
      </c>
      <c r="BJ50" s="361">
        <f t="shared" si="70"/>
        <v>-0.158614354230535</v>
      </c>
      <c r="BK50" s="363">
        <v>7.7343</v>
      </c>
      <c r="BL50" s="361">
        <f t="shared" si="71"/>
        <v>-0.203150596016938</v>
      </c>
      <c r="BM50" s="363">
        <v>7.7094</v>
      </c>
      <c r="BN50" s="361">
        <f t="shared" si="72"/>
        <v>-0.162531502563657</v>
      </c>
      <c r="BO50" s="363">
        <v>8.0259</v>
      </c>
      <c r="BP50" s="361">
        <f t="shared" si="73"/>
        <v>-0.113786935206042</v>
      </c>
      <c r="BQ50" s="363">
        <v>8.1262</v>
      </c>
      <c r="BR50" s="361">
        <f t="shared" si="74"/>
        <v>-0.084413096874507</v>
      </c>
      <c r="BS50" s="363">
        <v>8.2232</v>
      </c>
      <c r="BT50" s="361">
        <f t="shared" si="75"/>
        <v>-0.066881510564419</v>
      </c>
      <c r="BU50" s="108">
        <f t="shared" si="99"/>
        <v>97.1103</v>
      </c>
      <c r="BV50" s="361">
        <f t="shared" si="100"/>
        <v>-0.133309771855279</v>
      </c>
      <c r="BW50" s="364"/>
      <c r="BX50" s="450">
        <v>9.9864</v>
      </c>
      <c r="BY50" s="361">
        <f t="shared" si="101"/>
        <v>-0.420264951410094</v>
      </c>
      <c r="BZ50" s="450">
        <v>9.4236</v>
      </c>
      <c r="CA50" s="361">
        <f t="shared" si="102"/>
        <v>-0.490850149931113</v>
      </c>
      <c r="CB50" s="108">
        <v>9.2882</v>
      </c>
      <c r="CC50" s="361">
        <f t="shared" si="103"/>
        <v>-0.486209605151069</v>
      </c>
      <c r="CD50" s="108">
        <v>9.388</v>
      </c>
      <c r="CE50" s="361">
        <v>-0.477797493561468</v>
      </c>
      <c r="CF50" s="363">
        <v>9.4815</v>
      </c>
      <c r="CG50" s="361">
        <f t="shared" si="104"/>
        <v>-0.480200869484176</v>
      </c>
      <c r="CH50" s="363">
        <v>9.4618</v>
      </c>
      <c r="CI50" s="361">
        <f t="shared" si="105"/>
        <v>-0.476919164556682</v>
      </c>
      <c r="CJ50" s="363">
        <v>9.3617</v>
      </c>
      <c r="CK50" s="361">
        <f t="shared" si="106"/>
        <v>-0.478131201641135</v>
      </c>
      <c r="CL50" s="108">
        <v>9.7061</v>
      </c>
      <c r="CM50" s="361">
        <f t="shared" si="107"/>
        <v>-0.464065243559021</v>
      </c>
      <c r="CN50" s="108">
        <v>9.2056</v>
      </c>
      <c r="CO50" s="361">
        <f t="shared" si="108"/>
        <v>-0.476150913332954</v>
      </c>
      <c r="CP50" s="108">
        <v>9.0564</v>
      </c>
      <c r="CQ50" s="361">
        <f t="shared" si="109"/>
        <v>0.111678491640685</v>
      </c>
      <c r="CR50" s="108">
        <v>8.8754</v>
      </c>
      <c r="CS50" s="361">
        <f t="shared" si="110"/>
        <v>0.0623623479842959</v>
      </c>
      <c r="CT50" s="108">
        <v>8.8126</v>
      </c>
      <c r="CU50" s="361">
        <f t="shared" si="111"/>
        <v>0.016025641025641</v>
      </c>
      <c r="CV50" s="108">
        <f t="shared" si="112"/>
        <v>112.0473</v>
      </c>
      <c r="CW50" s="361">
        <f t="shared" si="113"/>
        <v>-0.400547625378445</v>
      </c>
      <c r="CX50" s="365">
        <f t="shared" si="114"/>
        <v>-0.00707573743155254</v>
      </c>
      <c r="CY50" s="365"/>
      <c r="CZ50" s="453">
        <v>17.2258</v>
      </c>
      <c r="DA50" s="450">
        <v>18.5085</v>
      </c>
      <c r="DB50" s="450">
        <v>18.0778</v>
      </c>
      <c r="DC50" s="450">
        <v>17.9777</v>
      </c>
      <c r="DD50" s="108">
        <v>18.2407</v>
      </c>
      <c r="DE50" s="108">
        <v>18.0886</v>
      </c>
      <c r="DF50" s="108">
        <v>17.9388</v>
      </c>
      <c r="DG50" s="108">
        <v>18.1106</v>
      </c>
      <c r="DH50" s="108">
        <v>17.573</v>
      </c>
      <c r="DI50" s="108">
        <v>8.1466</v>
      </c>
      <c r="DJ50" s="108">
        <v>8.3544</v>
      </c>
      <c r="DK50" s="108">
        <v>8.6736</v>
      </c>
      <c r="DL50" s="108">
        <v>186.9161</v>
      </c>
      <c r="DM50" s="368">
        <v>-0.240762697647704</v>
      </c>
      <c r="DN50" s="369"/>
      <c r="DO50" s="370">
        <v>25.4</v>
      </c>
      <c r="DP50" s="371">
        <f t="shared" si="128"/>
        <v>0.0469909315746083</v>
      </c>
      <c r="DQ50" s="388">
        <v>26.72</v>
      </c>
      <c r="DR50" s="532"/>
      <c r="DS50" s="388">
        <v>25.83</v>
      </c>
      <c r="DT50" s="373">
        <f t="shared" si="115"/>
        <v>1.77741935483871</v>
      </c>
      <c r="DU50" s="374"/>
      <c r="DV50" s="388">
        <v>26.35</v>
      </c>
      <c r="DW50" s="373">
        <f t="shared" si="116"/>
        <v>0.523121387283237</v>
      </c>
      <c r="DX50" s="388">
        <v>24.26</v>
      </c>
      <c r="DY50" s="373">
        <f t="shared" si="117"/>
        <v>0.444047619047619</v>
      </c>
      <c r="DZ50" s="388">
        <v>22.4</v>
      </c>
      <c r="EA50" s="373">
        <f t="shared" si="118"/>
        <v>0.232123212321232</v>
      </c>
      <c r="EB50" s="388">
        <v>19.86</v>
      </c>
      <c r="EC50" s="373">
        <f t="shared" si="119"/>
        <v>-0.0569800569800569</v>
      </c>
      <c r="ED50" s="388">
        <v>8.5393</v>
      </c>
      <c r="EE50" s="373">
        <f t="shared" si="120"/>
        <v>-0.617071748878924</v>
      </c>
      <c r="EF50" s="388">
        <v>16.29</v>
      </c>
      <c r="EG50" s="373">
        <f t="shared" si="121"/>
        <v>-0.29419410745234</v>
      </c>
      <c r="EH50" s="388">
        <v>16.93</v>
      </c>
      <c r="EI50" s="373">
        <f t="shared" si="122"/>
        <v>-0.314574898785425</v>
      </c>
      <c r="EJ50" s="388">
        <v>16.94</v>
      </c>
      <c r="EK50" s="373">
        <f t="shared" si="123"/>
        <v>-0.370260223048327</v>
      </c>
      <c r="EL50" s="388">
        <v>16.67</v>
      </c>
      <c r="EM50" s="373">
        <f t="shared" si="124"/>
        <v>-0.398194945848375</v>
      </c>
      <c r="EN50" s="372">
        <f t="shared" si="127"/>
        <v>246.1893</v>
      </c>
      <c r="EO50" s="373">
        <v>-0.333398407884761</v>
      </c>
      <c r="EP50" s="533">
        <v>162</v>
      </c>
      <c r="EQ50" s="373">
        <v>-0.0795454545454545</v>
      </c>
      <c r="ER50" s="388">
        <v>0</v>
      </c>
      <c r="ES50" s="373">
        <f t="shared" si="130"/>
        <v>-1</v>
      </c>
      <c r="ET50" s="388">
        <v>9.3</v>
      </c>
      <c r="EU50" s="373">
        <f t="shared" si="131"/>
        <v>-0.948901098901099</v>
      </c>
      <c r="EV50" s="388">
        <v>17.3</v>
      </c>
      <c r="EW50" s="373">
        <f t="shared" si="132"/>
        <v>-0.881506849315068</v>
      </c>
      <c r="EX50" s="388">
        <v>16.8</v>
      </c>
      <c r="EY50" s="373">
        <f t="shared" si="133"/>
        <v>-0.884137931034483</v>
      </c>
      <c r="EZ50" s="388">
        <v>18.18</v>
      </c>
      <c r="FA50" s="373">
        <f t="shared" si="134"/>
        <v>-0.881176470588235</v>
      </c>
      <c r="FB50" s="388">
        <v>21.06</v>
      </c>
      <c r="FC50" s="373">
        <f t="shared" si="135"/>
        <v>-0.857702702702703</v>
      </c>
      <c r="FD50" s="388">
        <v>22.3</v>
      </c>
      <c r="FE50" s="373">
        <f t="shared" si="136"/>
        <v>-0.842957746478873</v>
      </c>
      <c r="FF50" s="388">
        <v>23.08</v>
      </c>
      <c r="FG50" s="373">
        <f t="shared" si="137"/>
        <v>-0.838601398601399</v>
      </c>
      <c r="FH50" s="388">
        <v>24.7</v>
      </c>
      <c r="FI50" s="373">
        <f t="shared" si="138"/>
        <v>-0.838562091503268</v>
      </c>
      <c r="FJ50" s="388">
        <v>26.9</v>
      </c>
      <c r="FK50" s="373">
        <f t="shared" si="139"/>
        <v>-0.799253731343284</v>
      </c>
      <c r="FL50" s="388">
        <v>27.7</v>
      </c>
      <c r="FM50" s="373">
        <f t="shared" si="140"/>
        <v>-0.82012987012987</v>
      </c>
      <c r="FN50" s="374">
        <v>369.32</v>
      </c>
      <c r="FO50" s="373">
        <f t="shared" si="142"/>
        <v>-0.80754559666493</v>
      </c>
      <c r="FP50" s="533">
        <v>176</v>
      </c>
      <c r="FQ50" s="533">
        <v>243</v>
      </c>
      <c r="FR50" s="533">
        <v>182</v>
      </c>
      <c r="FS50" s="533">
        <v>146</v>
      </c>
      <c r="FT50" s="533">
        <v>145</v>
      </c>
      <c r="FU50" s="533">
        <v>153</v>
      </c>
      <c r="FV50" s="599">
        <v>148</v>
      </c>
      <c r="FW50" s="484">
        <v>142</v>
      </c>
      <c r="FX50" s="484">
        <v>143</v>
      </c>
      <c r="FY50" s="484">
        <v>153</v>
      </c>
      <c r="FZ50" s="376">
        <f t="shared" si="143"/>
        <v>-0.0555555555555556</v>
      </c>
      <c r="GA50" s="484">
        <v>134</v>
      </c>
      <c r="GB50" s="376">
        <f t="shared" si="144"/>
        <v>-0.0629370629370629</v>
      </c>
      <c r="GC50" s="484">
        <v>154</v>
      </c>
      <c r="GD50" s="376">
        <f t="shared" si="145"/>
        <v>-0.0833333333333333</v>
      </c>
      <c r="GE50" s="375">
        <f t="shared" si="146"/>
        <v>1919</v>
      </c>
      <c r="GF50" s="377">
        <f t="shared" si="147"/>
        <v>-0.0558425584255843</v>
      </c>
      <c r="GG50" s="317"/>
      <c r="GH50" s="536"/>
      <c r="GI50" s="379">
        <v>183</v>
      </c>
      <c r="GJ50" s="376">
        <f t="shared" si="148"/>
        <v>-0.0108108108108108</v>
      </c>
      <c r="GK50" s="375">
        <v>252</v>
      </c>
      <c r="GL50" s="376">
        <f t="shared" si="149"/>
        <v>-0.0078740157480315</v>
      </c>
      <c r="GM50" s="533">
        <v>193</v>
      </c>
      <c r="GN50" s="376">
        <f t="shared" si="150"/>
        <v>-0.0153061224489796</v>
      </c>
      <c r="GO50" s="533">
        <v>154</v>
      </c>
      <c r="GP50" s="376">
        <f t="shared" si="151"/>
        <v>-0.0128205128205128</v>
      </c>
      <c r="GQ50" s="533">
        <v>154</v>
      </c>
      <c r="GR50" s="376">
        <f t="shared" si="152"/>
        <v>-0.00645161290322581</v>
      </c>
      <c r="GS50" s="375">
        <v>163</v>
      </c>
      <c r="GT50" s="376">
        <f t="shared" si="153"/>
        <v>-0.0121212121212121</v>
      </c>
      <c r="GU50" s="375">
        <v>158</v>
      </c>
      <c r="GV50" s="376">
        <f t="shared" si="154"/>
        <v>-0.0306748466257669</v>
      </c>
      <c r="GW50" s="375">
        <v>152</v>
      </c>
      <c r="GX50" s="376">
        <f t="shared" si="155"/>
        <v>-0.0379746835443038</v>
      </c>
      <c r="GY50" s="375">
        <v>150.5</v>
      </c>
      <c r="GZ50" s="376">
        <f t="shared" si="156"/>
        <v>-0.0414012738853503</v>
      </c>
      <c r="HA50" s="375">
        <v>162</v>
      </c>
      <c r="HB50" s="376">
        <f t="shared" si="157"/>
        <v>-0.0121951219512195</v>
      </c>
      <c r="HC50" s="375">
        <v>143</v>
      </c>
      <c r="HD50" s="376">
        <f t="shared" si="158"/>
        <v>-0.0205479452054795</v>
      </c>
      <c r="HE50" s="375">
        <v>168</v>
      </c>
      <c r="HF50" s="376">
        <f t="shared" si="159"/>
        <v>-0.0232558139534884</v>
      </c>
      <c r="HG50" s="375">
        <f t="shared" si="160"/>
        <v>2032.5</v>
      </c>
      <c r="HH50" s="375">
        <f t="shared" si="161"/>
        <v>2032.5</v>
      </c>
      <c r="HI50" s="377"/>
      <c r="HJ50" s="369"/>
      <c r="HK50" s="485"/>
      <c r="HL50" s="458">
        <v>185</v>
      </c>
      <c r="HM50" s="527">
        <f t="shared" si="162"/>
        <v>0.0164835164835165</v>
      </c>
      <c r="HN50" s="600">
        <v>254</v>
      </c>
      <c r="HO50" s="527">
        <f t="shared" si="163"/>
        <v>0.00793650793650794</v>
      </c>
      <c r="HP50" s="600">
        <v>196</v>
      </c>
      <c r="HQ50" s="463">
        <f t="shared" si="164"/>
        <v>0.00512820512820513</v>
      </c>
      <c r="HR50" s="548">
        <v>156</v>
      </c>
      <c r="HS50" s="601">
        <f t="shared" si="165"/>
        <v>0.00645161290322581</v>
      </c>
      <c r="HT50" s="548">
        <v>155</v>
      </c>
      <c r="HU50" s="601">
        <f t="shared" si="166"/>
        <v>0.00649350649350649</v>
      </c>
      <c r="HV50" s="463"/>
      <c r="HW50" s="548">
        <v>165</v>
      </c>
      <c r="HX50" s="601">
        <f t="shared" si="167"/>
        <v>0.00609756097560976</v>
      </c>
      <c r="HY50" s="548">
        <v>163</v>
      </c>
      <c r="HZ50" s="601">
        <f t="shared" si="168"/>
        <v>0.00617283950617284</v>
      </c>
      <c r="IA50" s="548">
        <v>158</v>
      </c>
      <c r="IB50" s="389">
        <f t="shared" si="169"/>
        <v>0.0128205128205128</v>
      </c>
      <c r="IC50" s="548">
        <v>157</v>
      </c>
      <c r="ID50" s="389">
        <f t="shared" si="170"/>
        <v>0.00641025641025641</v>
      </c>
      <c r="IE50" s="548">
        <v>164</v>
      </c>
      <c r="IF50" s="460">
        <f t="shared" si="171"/>
        <v>0.00613496932515337</v>
      </c>
      <c r="IG50" s="548">
        <v>146</v>
      </c>
      <c r="IH50" s="390">
        <f t="shared" si="172"/>
        <v>0.00689655172413793</v>
      </c>
      <c r="II50" s="464">
        <v>172</v>
      </c>
      <c r="IJ50" s="309">
        <f t="shared" si="173"/>
        <v>0.00584795321637427</v>
      </c>
      <c r="IK50" s="391">
        <f t="shared" si="174"/>
        <v>2071</v>
      </c>
      <c r="IL50" s="104">
        <f t="shared" si="175"/>
        <v>0.00778588807785896</v>
      </c>
      <c r="IM50" s="318"/>
      <c r="IN50" s="550">
        <v>182</v>
      </c>
      <c r="IO50" s="505">
        <f t="shared" si="176"/>
        <v>0.0559825076739766</v>
      </c>
      <c r="IP50" s="508">
        <v>252</v>
      </c>
      <c r="IQ50" s="505">
        <f t="shared" si="177"/>
        <v>0.0653275281024912</v>
      </c>
      <c r="IR50" s="575">
        <v>195</v>
      </c>
      <c r="IS50" s="394">
        <f t="shared" si="178"/>
        <v>0.0261635370220982</v>
      </c>
      <c r="IT50" s="526">
        <v>155</v>
      </c>
      <c r="IU50" s="505">
        <f t="shared" si="179"/>
        <v>0.0296146698098875</v>
      </c>
      <c r="IV50" s="526">
        <v>154</v>
      </c>
      <c r="IW50" s="505">
        <f t="shared" si="180"/>
        <v>0.0245520495678157</v>
      </c>
      <c r="IX50" s="526">
        <v>164</v>
      </c>
      <c r="IY50" s="410">
        <f t="shared" si="181"/>
        <v>0.0273840233875912</v>
      </c>
      <c r="IZ50" s="526">
        <v>162</v>
      </c>
      <c r="JA50" s="410">
        <f t="shared" si="182"/>
        <v>0.0176129151246803</v>
      </c>
      <c r="JB50" s="508">
        <v>156</v>
      </c>
      <c r="JC50" s="410">
        <f t="shared" si="183"/>
        <v>0.0137754465005403</v>
      </c>
      <c r="JD50" s="508">
        <v>156</v>
      </c>
      <c r="JE50" s="500">
        <f t="shared" si="184"/>
        <v>0.00903666887792264</v>
      </c>
      <c r="JF50" s="508">
        <v>163</v>
      </c>
      <c r="JG50" s="501">
        <f t="shared" si="185"/>
        <v>0.0208818212634076</v>
      </c>
      <c r="JH50" s="455">
        <v>145</v>
      </c>
      <c r="JI50" s="527">
        <f t="shared" si="186"/>
        <v>0.0138222493715271</v>
      </c>
      <c r="JJ50" s="472">
        <v>171</v>
      </c>
      <c r="JK50" s="527">
        <f t="shared" si="187"/>
        <v>0.00863705220489979</v>
      </c>
      <c r="JL50" s="399">
        <f t="shared" si="126"/>
        <v>2055</v>
      </c>
      <c r="JM50" s="398">
        <f t="shared" si="188"/>
        <v>0.0278543548179004</v>
      </c>
      <c r="JN50" s="400"/>
      <c r="JO50" s="528">
        <v>1999.31049605182</v>
      </c>
      <c r="JP50" s="388">
        <v>172.351339797184</v>
      </c>
      <c r="JQ50" s="388">
        <v>236.546971098034</v>
      </c>
      <c r="JR50" s="388">
        <v>190.028190405094</v>
      </c>
      <c r="JS50" s="388">
        <v>150.541755614865</v>
      </c>
      <c r="JT50" s="388">
        <v>150.309591459957</v>
      </c>
      <c r="JU50" s="388">
        <v>159.628723307613</v>
      </c>
      <c r="JV50" s="388">
        <v>159.196092730556</v>
      </c>
      <c r="JW50" s="388">
        <v>153.880231108869</v>
      </c>
      <c r="JX50" s="388">
        <v>154.602904742279</v>
      </c>
      <c r="JY50" s="388">
        <v>159.665885516775</v>
      </c>
      <c r="JZ50" s="388">
        <v>143.023099058919</v>
      </c>
      <c r="KA50" s="388">
        <v>169.53571121167</v>
      </c>
    </row>
    <row r="51" ht="28.8" hidden="1" customHeight="1" spans="1:287">
      <c r="A51" s="28"/>
      <c r="B51" s="141" t="s">
        <v>209</v>
      </c>
      <c r="C51" s="163">
        <v>447.8643</v>
      </c>
      <c r="D51" s="359">
        <f t="shared" si="76"/>
        <v>0.398974378517237</v>
      </c>
      <c r="E51" s="163">
        <v>448.4483</v>
      </c>
      <c r="F51" s="359">
        <f t="shared" si="77"/>
        <v>0.391781984261274</v>
      </c>
      <c r="G51" s="163">
        <v>460.931</v>
      </c>
      <c r="H51" s="359">
        <f t="shared" si="78"/>
        <v>0.45763820304809</v>
      </c>
      <c r="I51" s="163">
        <v>465.732</v>
      </c>
      <c r="J51" s="359">
        <f t="shared" si="79"/>
        <v>0.47218017210396</v>
      </c>
      <c r="K51" s="163">
        <v>484.5462</v>
      </c>
      <c r="L51" s="359">
        <f t="shared" si="80"/>
        <v>0.489565733847822</v>
      </c>
      <c r="M51" s="163">
        <v>516.0528</v>
      </c>
      <c r="N51" s="359">
        <f t="shared" si="81"/>
        <v>0.0914503764484031</v>
      </c>
      <c r="O51" s="163">
        <v>520.1979</v>
      </c>
      <c r="P51" s="359">
        <f t="shared" si="82"/>
        <v>0.0845968075362478</v>
      </c>
      <c r="Q51" s="127"/>
      <c r="R51" s="127"/>
      <c r="S51" s="109">
        <f t="shared" si="95"/>
        <v>3343.7725</v>
      </c>
      <c r="T51" s="359">
        <f t="shared" si="96"/>
        <v>0.102121722068971</v>
      </c>
      <c r="U51" s="359"/>
      <c r="V51" s="163">
        <v>320.1376</v>
      </c>
      <c r="W51" s="359">
        <f t="shared" si="83"/>
        <v>-0.167136858645826</v>
      </c>
      <c r="X51" s="93">
        <v>322.2116</v>
      </c>
      <c r="Y51" s="402">
        <f t="shared" si="84"/>
        <v>-0.0959392241630866</v>
      </c>
      <c r="Z51" s="93">
        <v>316.2177</v>
      </c>
      <c r="AA51" s="402">
        <f t="shared" si="85"/>
        <v>-0.0850161111484055</v>
      </c>
      <c r="AB51" s="93">
        <v>316.3553</v>
      </c>
      <c r="AC51" s="402">
        <f t="shared" si="86"/>
        <v>-0.0986681823944795</v>
      </c>
      <c r="AD51" s="93">
        <v>325.2936</v>
      </c>
      <c r="AE51" s="402">
        <f t="shared" si="87"/>
        <v>-0.0816077967470263</v>
      </c>
      <c r="AF51" s="93">
        <v>472.8138</v>
      </c>
      <c r="AG51" s="402">
        <f t="shared" si="88"/>
        <v>0.280218280593562</v>
      </c>
      <c r="AH51" s="93">
        <v>479.6233</v>
      </c>
      <c r="AI51" s="402">
        <f t="shared" si="89"/>
        <v>0.288570750005239</v>
      </c>
      <c r="AJ51" s="93">
        <v>481.2883</v>
      </c>
      <c r="AK51" s="402">
        <f t="shared" si="90"/>
        <v>0.295588431645752</v>
      </c>
      <c r="AL51" s="93">
        <v>526.2857</v>
      </c>
      <c r="AM51" s="402">
        <f t="shared" si="91"/>
        <v>0.398572688957274</v>
      </c>
      <c r="AN51" s="93">
        <v>445.2084</v>
      </c>
      <c r="AO51" s="402">
        <f t="shared" si="92"/>
        <v>0.137854969165786</v>
      </c>
      <c r="AP51" s="93">
        <v>440.1304</v>
      </c>
      <c r="AQ51" s="402">
        <f t="shared" si="93"/>
        <v>0.107099511586766</v>
      </c>
      <c r="AR51" s="93">
        <v>440.8022</v>
      </c>
      <c r="AS51" s="402">
        <f t="shared" si="94"/>
        <v>0.0878656936799713</v>
      </c>
      <c r="AT51" s="107">
        <f t="shared" si="97"/>
        <v>4886.3679</v>
      </c>
      <c r="AU51" s="359">
        <f t="shared" si="98"/>
        <v>0.0919468214113979</v>
      </c>
      <c r="AV51" s="360"/>
      <c r="AW51" s="473">
        <v>384.382</v>
      </c>
      <c r="AX51" s="474">
        <v>0.0253421279299575</v>
      </c>
      <c r="AY51" s="448">
        <v>356.4048</v>
      </c>
      <c r="AZ51" s="475">
        <f t="shared" si="65"/>
        <v>-0.0166814272825844</v>
      </c>
      <c r="BA51" s="448">
        <v>345.5992</v>
      </c>
      <c r="BB51" s="475">
        <f t="shared" si="66"/>
        <v>-0.043314744917944</v>
      </c>
      <c r="BC51" s="448">
        <v>350.9865</v>
      </c>
      <c r="BD51" s="475">
        <f t="shared" si="67"/>
        <v>-0.0363428049927601</v>
      </c>
      <c r="BE51" s="476">
        <v>354.199</v>
      </c>
      <c r="BF51" s="475">
        <f t="shared" si="68"/>
        <v>-0.0384626869804439</v>
      </c>
      <c r="BG51" s="163">
        <v>369.3228</v>
      </c>
      <c r="BH51" s="475">
        <f t="shared" si="69"/>
        <v>-0.00716394654984576</v>
      </c>
      <c r="BI51" s="163">
        <v>372.2134</v>
      </c>
      <c r="BJ51" s="475">
        <f t="shared" si="70"/>
        <v>0.0131872929873194</v>
      </c>
      <c r="BK51" s="163">
        <v>371.4824</v>
      </c>
      <c r="BL51" s="475">
        <f t="shared" si="71"/>
        <v>-0.0308160315580207</v>
      </c>
      <c r="BM51" s="163">
        <v>376.302</v>
      </c>
      <c r="BN51" s="475">
        <f t="shared" si="72"/>
        <v>0.0270688380837176</v>
      </c>
      <c r="BO51" s="163">
        <v>391.2699</v>
      </c>
      <c r="BP51" s="475">
        <f t="shared" si="73"/>
        <v>0.0667446952427924</v>
      </c>
      <c r="BQ51" s="163">
        <v>397.5527</v>
      </c>
      <c r="BR51" s="475">
        <f t="shared" si="74"/>
        <v>0.0850794200139091</v>
      </c>
      <c r="BS51" s="163">
        <v>405.1991</v>
      </c>
      <c r="BT51" s="475">
        <f t="shared" si="75"/>
        <v>0.105106136243635</v>
      </c>
      <c r="BU51" s="109">
        <f t="shared" si="99"/>
        <v>4474.9138</v>
      </c>
      <c r="BV51" s="359">
        <f t="shared" si="100"/>
        <v>0.0124157823525222</v>
      </c>
      <c r="BW51" s="429"/>
      <c r="BX51" s="473">
        <v>374.8817</v>
      </c>
      <c r="BY51" s="475">
        <f t="shared" si="101"/>
        <v>-0.422577475663972</v>
      </c>
      <c r="BZ51" s="473">
        <v>362.451</v>
      </c>
      <c r="CA51" s="475">
        <f t="shared" si="102"/>
        <v>-0.475806387464858</v>
      </c>
      <c r="CB51" s="448">
        <v>361.2465</v>
      </c>
      <c r="CC51" s="359">
        <f t="shared" si="103"/>
        <v>-0.468825215262046</v>
      </c>
      <c r="CD51" s="109">
        <v>364.2234</v>
      </c>
      <c r="CE51" s="359">
        <v>-0.458372455800411</v>
      </c>
      <c r="CF51" s="163">
        <v>368.3674</v>
      </c>
      <c r="CG51" s="359">
        <f t="shared" si="104"/>
        <v>-0.465734975294583</v>
      </c>
      <c r="CH51" s="163">
        <v>371.9877</v>
      </c>
      <c r="CI51" s="359">
        <f t="shared" si="105"/>
        <v>-0.462332547908188</v>
      </c>
      <c r="CJ51" s="163">
        <v>367.3688</v>
      </c>
      <c r="CK51" s="359">
        <f t="shared" si="106"/>
        <v>-0.464683291162998</v>
      </c>
      <c r="CL51" s="109">
        <v>383.294</v>
      </c>
      <c r="CM51" s="359">
        <f t="shared" si="107"/>
        <v>-0.447322826198548</v>
      </c>
      <c r="CN51" s="109">
        <v>366.3844</v>
      </c>
      <c r="CO51" s="359">
        <f t="shared" si="108"/>
        <v>-0.453932457332558</v>
      </c>
      <c r="CP51" s="109">
        <v>366.7887</v>
      </c>
      <c r="CQ51" s="359">
        <f t="shared" si="109"/>
        <v>0.256173436729958</v>
      </c>
      <c r="CR51" s="109">
        <v>366.3812</v>
      </c>
      <c r="CS51" s="359">
        <f t="shared" si="110"/>
        <v>0.236744400355785</v>
      </c>
      <c r="CT51" s="109">
        <v>366.6608</v>
      </c>
      <c r="CU51" s="359">
        <f t="shared" si="111"/>
        <v>0.181026569013533</v>
      </c>
      <c r="CV51" s="109">
        <f t="shared" si="112"/>
        <v>4420.0356</v>
      </c>
      <c r="CW51" s="359">
        <f t="shared" si="113"/>
        <v>-0.37072384312995</v>
      </c>
      <c r="CX51" s="408">
        <f t="shared" si="114"/>
        <v>0.000763139593407125</v>
      </c>
      <c r="CY51" s="408"/>
      <c r="CZ51" s="477">
        <v>649.2329</v>
      </c>
      <c r="DA51" s="473">
        <v>691.4449</v>
      </c>
      <c r="DB51" s="473">
        <v>680.0897</v>
      </c>
      <c r="DC51" s="473">
        <v>672.461</v>
      </c>
      <c r="DD51" s="448">
        <v>689.4844</v>
      </c>
      <c r="DE51" s="448">
        <v>691.8546</v>
      </c>
      <c r="DF51" s="448">
        <v>686.2644</v>
      </c>
      <c r="DG51" s="448">
        <v>693.5224</v>
      </c>
      <c r="DH51" s="448">
        <v>670.9507</v>
      </c>
      <c r="DI51" s="448">
        <v>291.9889</v>
      </c>
      <c r="DJ51" s="448">
        <v>296.2465</v>
      </c>
      <c r="DK51" s="448">
        <v>310.4594</v>
      </c>
      <c r="DL51" s="448">
        <v>7023.9998</v>
      </c>
      <c r="DM51" s="449">
        <v>-0.266504964980415</v>
      </c>
      <c r="DN51" s="411"/>
      <c r="DO51" s="412">
        <v>999.09</v>
      </c>
      <c r="DP51" s="87">
        <f t="shared" si="128"/>
        <v>0.026075793365513</v>
      </c>
      <c r="DQ51" s="424">
        <v>1048</v>
      </c>
      <c r="DR51" s="304"/>
      <c r="DS51" s="424">
        <v>1035</v>
      </c>
      <c r="DT51" s="104">
        <f t="shared" si="115"/>
        <v>0.892138939670932</v>
      </c>
      <c r="DU51" s="103"/>
      <c r="DV51" s="424">
        <v>1055.3</v>
      </c>
      <c r="DW51" s="104">
        <f t="shared" si="116"/>
        <v>0.556489675516224</v>
      </c>
      <c r="DX51" s="424">
        <v>973.7</v>
      </c>
      <c r="DY51" s="104">
        <f t="shared" si="117"/>
        <v>0.455455904334828</v>
      </c>
      <c r="DZ51" s="424">
        <v>901.6</v>
      </c>
      <c r="EA51" s="104">
        <f t="shared" si="118"/>
        <v>0.259217877094972</v>
      </c>
      <c r="EB51" s="424">
        <v>805.9</v>
      </c>
      <c r="EC51" s="104">
        <f t="shared" si="119"/>
        <v>-0.0290361445783133</v>
      </c>
      <c r="ED51" s="424">
        <v>296.58</v>
      </c>
      <c r="EE51" s="104">
        <f t="shared" si="120"/>
        <v>-0.666013513513514</v>
      </c>
      <c r="EF51" s="424">
        <v>596.82</v>
      </c>
      <c r="EG51" s="104">
        <f t="shared" si="121"/>
        <v>-0.34745243822436</v>
      </c>
      <c r="EH51" s="424">
        <v>618.73</v>
      </c>
      <c r="EI51" s="104">
        <f t="shared" si="122"/>
        <v>-0.364753593429158</v>
      </c>
      <c r="EJ51" s="424">
        <v>624.55</v>
      </c>
      <c r="EK51" s="104">
        <f t="shared" si="123"/>
        <v>-0.406321292775665</v>
      </c>
      <c r="EL51" s="424">
        <v>620.8</v>
      </c>
      <c r="EM51" s="104">
        <f t="shared" si="124"/>
        <v>-0.43254113345521</v>
      </c>
      <c r="EN51" s="93">
        <f t="shared" si="127"/>
        <v>9576.07</v>
      </c>
      <c r="EO51" s="104">
        <v>-0.295649327723675</v>
      </c>
      <c r="EP51" s="515">
        <v>5233</v>
      </c>
      <c r="EQ51" s="104">
        <v>-0.0827344434706398</v>
      </c>
      <c r="ER51" s="424">
        <v>0</v>
      </c>
      <c r="ES51" s="104">
        <f t="shared" si="130"/>
        <v>-1</v>
      </c>
      <c r="ET51" s="424">
        <v>547</v>
      </c>
      <c r="EU51" s="104">
        <f t="shared" si="131"/>
        <v>-0.9170835228134</v>
      </c>
      <c r="EV51" s="424">
        <v>678</v>
      </c>
      <c r="EW51" s="104">
        <f t="shared" si="132"/>
        <v>-0.875619152449092</v>
      </c>
      <c r="EX51" s="424">
        <v>669</v>
      </c>
      <c r="EY51" s="104">
        <f t="shared" si="133"/>
        <v>-0.897076923076923</v>
      </c>
      <c r="EZ51" s="424">
        <v>716</v>
      </c>
      <c r="FA51" s="104">
        <f t="shared" si="134"/>
        <v>-0.866218236173393</v>
      </c>
      <c r="FB51" s="424">
        <v>830</v>
      </c>
      <c r="FC51" s="104">
        <f t="shared" si="135"/>
        <v>-0.862900561612157</v>
      </c>
      <c r="FD51" s="424">
        <v>888</v>
      </c>
      <c r="FE51" s="104">
        <f t="shared" si="136"/>
        <v>-0.847840986977382</v>
      </c>
      <c r="FF51" s="424">
        <v>914.6</v>
      </c>
      <c r="FG51" s="104">
        <f t="shared" si="137"/>
        <v>-0.856623295187333</v>
      </c>
      <c r="FH51" s="424">
        <v>974</v>
      </c>
      <c r="FI51" s="104">
        <f t="shared" si="138"/>
        <v>-0.830195258019526</v>
      </c>
      <c r="FJ51" s="424">
        <v>1052</v>
      </c>
      <c r="FK51" s="104">
        <f t="shared" si="139"/>
        <v>-0.795926285160039</v>
      </c>
      <c r="FL51" s="424">
        <v>1094</v>
      </c>
      <c r="FM51" s="104">
        <f t="shared" si="140"/>
        <v>-0.868950646861524</v>
      </c>
      <c r="FN51" s="103">
        <v>13595.6</v>
      </c>
      <c r="FO51" s="104">
        <f t="shared" si="142"/>
        <v>-0.818635860357776</v>
      </c>
      <c r="FP51" s="515">
        <v>5705</v>
      </c>
      <c r="FQ51" s="515">
        <v>7850</v>
      </c>
      <c r="FR51" s="515">
        <v>6597</v>
      </c>
      <c r="FS51" s="515">
        <v>5451</v>
      </c>
      <c r="FT51" s="515">
        <v>6500</v>
      </c>
      <c r="FU51" s="515">
        <v>5352</v>
      </c>
      <c r="FV51" s="597">
        <v>6054</v>
      </c>
      <c r="FW51" s="480">
        <v>5836</v>
      </c>
      <c r="FX51" s="480">
        <v>6379</v>
      </c>
      <c r="FY51" s="480">
        <v>5736</v>
      </c>
      <c r="FZ51" s="413">
        <f t="shared" si="143"/>
        <v>-0.0565789473684211</v>
      </c>
      <c r="GA51" s="480">
        <v>5155</v>
      </c>
      <c r="GB51" s="413">
        <f t="shared" si="144"/>
        <v>-0.0208926875593542</v>
      </c>
      <c r="GC51" s="480">
        <v>8348</v>
      </c>
      <c r="GD51" s="413">
        <f t="shared" si="145"/>
        <v>-0.0826373626373626</v>
      </c>
      <c r="GE51" s="414">
        <f t="shared" si="146"/>
        <v>74963</v>
      </c>
      <c r="GF51" s="481">
        <f t="shared" si="147"/>
        <v>-0.0534377170275901</v>
      </c>
      <c r="GG51" s="415"/>
      <c r="GH51" s="318"/>
      <c r="GI51" s="417">
        <v>5929</v>
      </c>
      <c r="GJ51" s="104">
        <f t="shared" si="148"/>
        <v>-0.0217785843920145</v>
      </c>
      <c r="GK51" s="103">
        <v>8150</v>
      </c>
      <c r="GL51" s="104">
        <f t="shared" si="149"/>
        <v>-0.00972053462940462</v>
      </c>
      <c r="GM51" s="424">
        <v>6980</v>
      </c>
      <c r="GN51" s="104">
        <f t="shared" si="150"/>
        <v>-0.0155148095909732</v>
      </c>
      <c r="GO51" s="424">
        <v>5740</v>
      </c>
      <c r="GP51" s="104">
        <f t="shared" si="151"/>
        <v>-0.0115377992078526</v>
      </c>
      <c r="GQ51" s="424">
        <v>6858</v>
      </c>
      <c r="GR51" s="104">
        <f t="shared" si="152"/>
        <v>-0.0121002592912705</v>
      </c>
      <c r="GS51" s="103">
        <v>5700</v>
      </c>
      <c r="GT51" s="104">
        <f t="shared" si="153"/>
        <v>-0.0860990860990861</v>
      </c>
      <c r="GU51" s="103">
        <v>6418</v>
      </c>
      <c r="GV51" s="104">
        <f t="shared" si="154"/>
        <v>-0.035322410942432</v>
      </c>
      <c r="GW51" s="103">
        <v>6245</v>
      </c>
      <c r="GX51" s="104">
        <f t="shared" si="155"/>
        <v>-0.037602095854523</v>
      </c>
      <c r="GY51" s="103">
        <v>6730</v>
      </c>
      <c r="GZ51" s="104">
        <f t="shared" si="156"/>
        <v>-0.0409006698019097</v>
      </c>
      <c r="HA51" s="103">
        <v>6080</v>
      </c>
      <c r="HB51" s="104">
        <f t="shared" si="157"/>
        <v>-0.0166585799773573</v>
      </c>
      <c r="HC51" s="103">
        <v>5265</v>
      </c>
      <c r="HD51" s="104">
        <f t="shared" si="158"/>
        <v>-0.0259019426456984</v>
      </c>
      <c r="HE51" s="103">
        <v>9100</v>
      </c>
      <c r="HF51" s="104">
        <f t="shared" si="159"/>
        <v>-0.0288153681963714</v>
      </c>
      <c r="HG51" s="414">
        <f t="shared" si="160"/>
        <v>79195</v>
      </c>
      <c r="HH51" s="103">
        <f t="shared" si="161"/>
        <v>79195</v>
      </c>
      <c r="HI51" s="394"/>
      <c r="HJ51" s="411"/>
      <c r="HK51" s="493"/>
      <c r="HL51" s="417">
        <v>6061</v>
      </c>
      <c r="HM51" s="418">
        <f t="shared" si="162"/>
        <v>0.0198552919400976</v>
      </c>
      <c r="HN51" s="421">
        <v>8230</v>
      </c>
      <c r="HO51" s="418">
        <f t="shared" si="163"/>
        <v>0.0098159509202454</v>
      </c>
      <c r="HP51" s="421">
        <v>7090</v>
      </c>
      <c r="HQ51" s="423">
        <f t="shared" si="164"/>
        <v>0.00896541909776576</v>
      </c>
      <c r="HR51" s="439">
        <v>5807</v>
      </c>
      <c r="HS51" s="304">
        <f t="shared" si="165"/>
        <v>0.0058894855361164</v>
      </c>
      <c r="HT51" s="439">
        <v>6942</v>
      </c>
      <c r="HU51" s="304">
        <f t="shared" si="166"/>
        <v>0.0084253341080767</v>
      </c>
      <c r="HV51" s="423"/>
      <c r="HW51" s="439">
        <v>6237</v>
      </c>
      <c r="HX51" s="304">
        <f t="shared" si="167"/>
        <v>0.00987694300518135</v>
      </c>
      <c r="HY51" s="439">
        <v>6653</v>
      </c>
      <c r="HZ51" s="304">
        <f t="shared" si="168"/>
        <v>0.00787759430389335</v>
      </c>
      <c r="IA51" s="439">
        <v>6489</v>
      </c>
      <c r="IB51" s="422">
        <f t="shared" si="169"/>
        <v>0.0199622760138321</v>
      </c>
      <c r="IC51" s="439">
        <v>7017</v>
      </c>
      <c r="ID51" s="425">
        <f t="shared" si="170"/>
        <v>0.00993091537132988</v>
      </c>
      <c r="IE51" s="439">
        <v>6183</v>
      </c>
      <c r="IF51" s="500">
        <f t="shared" si="171"/>
        <v>0.00585651537335286</v>
      </c>
      <c r="IG51" s="439">
        <v>5405</v>
      </c>
      <c r="IH51" s="309">
        <f t="shared" si="172"/>
        <v>0.00595570444816676</v>
      </c>
      <c r="II51" s="439">
        <v>9370</v>
      </c>
      <c r="IJ51" s="309">
        <f t="shared" si="173"/>
        <v>0.0100247924975746</v>
      </c>
      <c r="IK51" s="391">
        <f t="shared" si="174"/>
        <v>81484</v>
      </c>
      <c r="IL51" s="104">
        <f t="shared" si="175"/>
        <v>0.0102031960922875</v>
      </c>
      <c r="IM51" s="318"/>
      <c r="IN51" s="518">
        <v>5943</v>
      </c>
      <c r="IO51" s="304">
        <f t="shared" si="176"/>
        <v>0.0598313558904404</v>
      </c>
      <c r="IP51" s="103">
        <v>8150</v>
      </c>
      <c r="IQ51" s="304">
        <f t="shared" si="177"/>
        <v>0.0598951811038793</v>
      </c>
      <c r="IR51" s="424">
        <v>7027</v>
      </c>
      <c r="IS51" s="394">
        <f t="shared" si="178"/>
        <v>0.0299441531972799</v>
      </c>
      <c r="IT51" s="517">
        <v>5773</v>
      </c>
      <c r="IU51" s="304">
        <f t="shared" si="179"/>
        <v>0.029957430821505</v>
      </c>
      <c r="IV51" s="517">
        <v>6884</v>
      </c>
      <c r="IW51" s="304">
        <f t="shared" si="180"/>
        <v>0.0299373497137317</v>
      </c>
      <c r="IX51" s="517">
        <v>6176</v>
      </c>
      <c r="IY51" s="104">
        <f t="shared" si="181"/>
        <v>0.0199042547377546</v>
      </c>
      <c r="IZ51" s="517">
        <v>6601</v>
      </c>
      <c r="JA51" s="104">
        <f t="shared" si="182"/>
        <v>0.029943677250751</v>
      </c>
      <c r="JB51" s="103">
        <v>6362</v>
      </c>
      <c r="JC51" s="104">
        <f t="shared" si="183"/>
        <v>0.0199273255797498</v>
      </c>
      <c r="JD51" s="103">
        <v>6948</v>
      </c>
      <c r="JE51" s="394">
        <f t="shared" si="184"/>
        <v>0.00992616412636134</v>
      </c>
      <c r="JF51" s="103">
        <v>6147</v>
      </c>
      <c r="JG51" s="418">
        <f t="shared" si="185"/>
        <v>0.0198904670462661</v>
      </c>
      <c r="JH51" s="103">
        <v>5373</v>
      </c>
      <c r="JI51" s="418">
        <f t="shared" si="186"/>
        <v>0.0148439229863374</v>
      </c>
      <c r="JJ51" s="103">
        <v>9277</v>
      </c>
      <c r="JK51" s="418">
        <f t="shared" si="187"/>
        <v>0.00999356105900394</v>
      </c>
      <c r="JL51" s="399">
        <f t="shared" si="126"/>
        <v>80661</v>
      </c>
      <c r="JM51" s="398">
        <f t="shared" si="188"/>
        <v>0.0275636486916784</v>
      </c>
      <c r="JN51" s="400"/>
      <c r="JO51" s="518">
        <v>78497.327248487</v>
      </c>
      <c r="JP51" s="424">
        <v>5607.49591618457</v>
      </c>
      <c r="JQ51" s="424">
        <v>7689.43962129518</v>
      </c>
      <c r="JR51" s="424">
        <v>6822.70002522556</v>
      </c>
      <c r="JS51" s="424">
        <v>5605.08602321107</v>
      </c>
      <c r="JT51" s="424">
        <v>6683.90169743178</v>
      </c>
      <c r="JU51" s="424">
        <v>6055.47037509714</v>
      </c>
      <c r="JV51" s="424">
        <v>6409.08832764543</v>
      </c>
      <c r="JW51" s="424">
        <v>6237.69933449297</v>
      </c>
      <c r="JX51" s="424">
        <v>6879.71086085326</v>
      </c>
      <c r="JY51" s="424">
        <v>6027.11781178081</v>
      </c>
      <c r="JZ51" s="424">
        <v>5294.41018298568</v>
      </c>
      <c r="KA51" s="424">
        <v>9185.20707228354</v>
      </c>
    </row>
    <row r="52" s="284" customFormat="1" ht="28.8" hidden="1" customHeight="1" spans="1:287">
      <c r="A52" s="298" t="s">
        <v>108</v>
      </c>
      <c r="B52" s="164" t="s">
        <v>206</v>
      </c>
      <c r="C52" s="109">
        <v>2.2826</v>
      </c>
      <c r="D52" s="359">
        <f t="shared" si="76"/>
        <v>-0.270525071106708</v>
      </c>
      <c r="E52" s="163">
        <v>2.1525</v>
      </c>
      <c r="F52" s="359">
        <f t="shared" si="77"/>
        <v>-0.202482400889218</v>
      </c>
      <c r="G52" s="163">
        <v>2.2929</v>
      </c>
      <c r="H52" s="359">
        <f t="shared" si="78"/>
        <v>-0.119131771033423</v>
      </c>
      <c r="I52" s="163">
        <v>2.26</v>
      </c>
      <c r="J52" s="359">
        <f t="shared" si="79"/>
        <v>-0.0124967228873549</v>
      </c>
      <c r="K52" s="163">
        <v>2.0421</v>
      </c>
      <c r="L52" s="359">
        <f t="shared" si="80"/>
        <v>-0.191407642051079</v>
      </c>
      <c r="M52" s="163">
        <v>2.0576</v>
      </c>
      <c r="N52" s="359">
        <f t="shared" si="81"/>
        <v>-0.194897679696365</v>
      </c>
      <c r="O52" s="163">
        <v>1.9483</v>
      </c>
      <c r="P52" s="359">
        <f t="shared" si="82"/>
        <v>-0.195249896736886</v>
      </c>
      <c r="Q52" s="127"/>
      <c r="R52" s="127"/>
      <c r="S52" s="109">
        <f t="shared" si="95"/>
        <v>15.036</v>
      </c>
      <c r="T52" s="359">
        <f t="shared" si="96"/>
        <v>-0.280742792359686</v>
      </c>
      <c r="U52" s="359"/>
      <c r="V52" s="109">
        <v>3.1291</v>
      </c>
      <c r="W52" s="359">
        <f t="shared" si="83"/>
        <v>-0.218428414427016</v>
      </c>
      <c r="X52" s="109">
        <v>2.699</v>
      </c>
      <c r="Y52" s="359">
        <f t="shared" si="84"/>
        <v>0.182941795231417</v>
      </c>
      <c r="Z52" s="109">
        <v>2.603</v>
      </c>
      <c r="AA52" s="359">
        <f t="shared" si="85"/>
        <v>0.0149730952195275</v>
      </c>
      <c r="AB52" s="109">
        <v>2.2886</v>
      </c>
      <c r="AC52" s="359">
        <f t="shared" si="86"/>
        <v>-0.238580031273913</v>
      </c>
      <c r="AD52" s="109">
        <v>2.5255</v>
      </c>
      <c r="AE52" s="359">
        <f t="shared" si="87"/>
        <v>-0.263552328463535</v>
      </c>
      <c r="AF52" s="109">
        <v>2.5557</v>
      </c>
      <c r="AG52" s="359">
        <f t="shared" si="88"/>
        <v>-0.248080261260996</v>
      </c>
      <c r="AH52" s="109">
        <v>2.421</v>
      </c>
      <c r="AI52" s="359">
        <f t="shared" si="89"/>
        <v>-0.114775677355662</v>
      </c>
      <c r="AJ52" s="109">
        <v>2.683</v>
      </c>
      <c r="AK52" s="359">
        <f t="shared" si="90"/>
        <v>0.0201520912547528</v>
      </c>
      <c r="AL52" s="109">
        <v>2.4105</v>
      </c>
      <c r="AM52" s="359">
        <f t="shared" si="91"/>
        <v>-0.0401003504300733</v>
      </c>
      <c r="AN52" s="109">
        <v>2.71</v>
      </c>
      <c r="AO52" s="359">
        <f t="shared" si="92"/>
        <v>-0.066257795541467</v>
      </c>
      <c r="AP52" s="109">
        <v>2.4835</v>
      </c>
      <c r="AQ52" s="359">
        <f t="shared" si="93"/>
        <v>-0.222886288253333</v>
      </c>
      <c r="AR52" s="109">
        <v>2.3858</v>
      </c>
      <c r="AS52" s="359">
        <f t="shared" si="94"/>
        <v>-0.241326676630521</v>
      </c>
      <c r="AT52" s="107">
        <f t="shared" si="97"/>
        <v>30.8947</v>
      </c>
      <c r="AU52" s="359">
        <f t="shared" si="98"/>
        <v>-0.137082223078771</v>
      </c>
      <c r="AV52" s="360"/>
      <c r="AW52" s="450">
        <v>4.0036</v>
      </c>
      <c r="AX52" s="361">
        <v>1.25949545685422</v>
      </c>
      <c r="AY52" s="108">
        <v>2.2816</v>
      </c>
      <c r="AZ52" s="361">
        <f t="shared" si="65"/>
        <v>0.0293706293706295</v>
      </c>
      <c r="BA52" s="108">
        <v>2.5646</v>
      </c>
      <c r="BB52" s="361">
        <f t="shared" si="66"/>
        <v>0.0732789286461604</v>
      </c>
      <c r="BC52" s="108">
        <v>3.0057</v>
      </c>
      <c r="BD52" s="361">
        <f t="shared" si="67"/>
        <v>0.0633999646205556</v>
      </c>
      <c r="BE52" s="483">
        <v>3.4293</v>
      </c>
      <c r="BF52" s="361">
        <f t="shared" si="68"/>
        <v>0.0849811750561584</v>
      </c>
      <c r="BG52" s="363">
        <v>3.3989</v>
      </c>
      <c r="BH52" s="361">
        <f t="shared" si="69"/>
        <v>0.0765892749675334</v>
      </c>
      <c r="BI52" s="363">
        <v>2.7349</v>
      </c>
      <c r="BJ52" s="361">
        <f t="shared" si="70"/>
        <v>-0.218666971402451</v>
      </c>
      <c r="BK52" s="363">
        <v>2.63</v>
      </c>
      <c r="BL52" s="361">
        <f t="shared" si="71"/>
        <v>-0.220163083765752</v>
      </c>
      <c r="BM52" s="363">
        <v>2.5112</v>
      </c>
      <c r="BN52" s="361">
        <f t="shared" si="72"/>
        <v>-0.216816367265469</v>
      </c>
      <c r="BO52" s="363">
        <v>2.9023</v>
      </c>
      <c r="BP52" s="361">
        <f t="shared" si="73"/>
        <v>-0.216420529711925</v>
      </c>
      <c r="BQ52" s="363">
        <v>3.1958</v>
      </c>
      <c r="BR52" s="361">
        <f t="shared" si="74"/>
        <v>-0.224546248665437</v>
      </c>
      <c r="BS52" s="363">
        <v>3.1447</v>
      </c>
      <c r="BT52" s="361">
        <f t="shared" si="75"/>
        <v>-0.214865303472898</v>
      </c>
      <c r="BU52" s="108">
        <f t="shared" si="99"/>
        <v>35.8026</v>
      </c>
      <c r="BV52" s="361">
        <f t="shared" si="100"/>
        <v>-0.0435244898722476</v>
      </c>
      <c r="BW52" s="364"/>
      <c r="BX52" s="450">
        <v>1.7719</v>
      </c>
      <c r="BY52" s="361">
        <f t="shared" si="101"/>
        <v>-0.119509043927648</v>
      </c>
      <c r="BZ52" s="450">
        <v>2.2165</v>
      </c>
      <c r="CA52" s="361">
        <f t="shared" si="102"/>
        <v>0.0492804393107364</v>
      </c>
      <c r="CB52" s="108">
        <v>2.3895</v>
      </c>
      <c r="CC52" s="361">
        <f t="shared" si="103"/>
        <v>0.228850604268449</v>
      </c>
      <c r="CD52" s="108">
        <v>2.8265</v>
      </c>
      <c r="CE52" s="361">
        <v>0.593022600462154</v>
      </c>
      <c r="CF52" s="363">
        <v>3.1607</v>
      </c>
      <c r="CG52" s="361">
        <f t="shared" si="104"/>
        <v>0.757604404159484</v>
      </c>
      <c r="CH52" s="363">
        <v>3.1571</v>
      </c>
      <c r="CI52" s="361">
        <f t="shared" si="105"/>
        <v>0.689553676549288</v>
      </c>
      <c r="CJ52" s="363">
        <v>3.5003</v>
      </c>
      <c r="CK52" s="361">
        <f t="shared" si="106"/>
        <v>0.756825938566553</v>
      </c>
      <c r="CL52" s="108">
        <v>3.3725</v>
      </c>
      <c r="CM52" s="361">
        <f t="shared" si="107"/>
        <v>1.20814509264715</v>
      </c>
      <c r="CN52" s="108">
        <v>3.2064</v>
      </c>
      <c r="CO52" s="361">
        <f t="shared" si="108"/>
        <v>1.30858953128375</v>
      </c>
      <c r="CP52" s="108">
        <v>3.7039</v>
      </c>
      <c r="CQ52" s="361">
        <f t="shared" si="109"/>
        <v>2.16329319327013</v>
      </c>
      <c r="CR52" s="108">
        <v>4.1212</v>
      </c>
      <c r="CS52" s="361">
        <f t="shared" si="110"/>
        <v>1.97002017872586</v>
      </c>
      <c r="CT52" s="108">
        <v>4.0053</v>
      </c>
      <c r="CU52" s="361">
        <f t="shared" si="111"/>
        <v>2.19452863295581</v>
      </c>
      <c r="CV52" s="108">
        <f t="shared" si="112"/>
        <v>37.4318</v>
      </c>
      <c r="CW52" s="361">
        <f t="shared" si="113"/>
        <v>0.850183378312919</v>
      </c>
      <c r="CX52" s="365">
        <f t="shared" si="114"/>
        <v>-0.0281228768319907</v>
      </c>
      <c r="CY52" s="365"/>
      <c r="CZ52" s="453">
        <v>2.0124</v>
      </c>
      <c r="DA52" s="450">
        <v>2.1124</v>
      </c>
      <c r="DB52" s="450">
        <v>1.9445</v>
      </c>
      <c r="DC52" s="450">
        <v>1.7743</v>
      </c>
      <c r="DD52" s="108">
        <v>1.7983</v>
      </c>
      <c r="DE52" s="108">
        <v>1.8686</v>
      </c>
      <c r="DF52" s="108">
        <v>1.9924</v>
      </c>
      <c r="DG52" s="108">
        <v>1.5273</v>
      </c>
      <c r="DH52" s="108">
        <v>1.3889</v>
      </c>
      <c r="DI52" s="108">
        <v>1.1709</v>
      </c>
      <c r="DJ52" s="108">
        <v>1.3876</v>
      </c>
      <c r="DK52" s="108">
        <v>1.2538</v>
      </c>
      <c r="DL52" s="108">
        <v>20.2314</v>
      </c>
      <c r="DM52" s="368">
        <v>-0.401959827960803</v>
      </c>
      <c r="DN52" s="369"/>
      <c r="DO52" s="370">
        <v>1.9768</v>
      </c>
      <c r="DP52" s="371">
        <f t="shared" si="128"/>
        <v>-0.570410292072323</v>
      </c>
      <c r="DQ52" s="374">
        <v>2.0862</v>
      </c>
      <c r="DR52" s="373"/>
      <c r="DS52" s="374">
        <v>3.5771</v>
      </c>
      <c r="DT52" s="373">
        <f t="shared" si="115"/>
        <v>-0.123259803921569</v>
      </c>
      <c r="DU52" s="374"/>
      <c r="DV52" s="374">
        <v>3.8622</v>
      </c>
      <c r="DW52" s="373">
        <f t="shared" si="116"/>
        <v>-0.044009900990099</v>
      </c>
      <c r="DX52" s="374">
        <v>4.6016</v>
      </c>
      <c r="DY52" s="373">
        <f t="shared" si="117"/>
        <v>-0.0703838383838383</v>
      </c>
      <c r="DZ52" s="374">
        <v>4.3907</v>
      </c>
      <c r="EA52" s="373">
        <f t="shared" si="118"/>
        <v>-0.035010989010989</v>
      </c>
      <c r="EB52" s="374">
        <v>3.7282</v>
      </c>
      <c r="EC52" s="373">
        <f t="shared" si="119"/>
        <v>-0.220041841004184</v>
      </c>
      <c r="ED52" s="374">
        <v>1.372</v>
      </c>
      <c r="EE52" s="373">
        <f t="shared" si="120"/>
        <v>-0.774342105263158</v>
      </c>
      <c r="EF52" s="374">
        <v>1.9414</v>
      </c>
      <c r="EG52" s="373">
        <f t="shared" si="121"/>
        <v>-0.564708520179372</v>
      </c>
      <c r="EH52" s="374">
        <v>2.1796</v>
      </c>
      <c r="EI52" s="373">
        <f t="shared" si="122"/>
        <v>-0.657779871251374</v>
      </c>
      <c r="EJ52" s="374">
        <v>2.1142</v>
      </c>
      <c r="EK52" s="373">
        <f t="shared" si="123"/>
        <v>-0.627453744493392</v>
      </c>
      <c r="EL52" s="374">
        <v>1.9995</v>
      </c>
      <c r="EM52" s="373">
        <f t="shared" si="124"/>
        <v>-0.25</v>
      </c>
      <c r="EN52" s="372">
        <f t="shared" si="127"/>
        <v>33.8295</v>
      </c>
      <c r="EO52" s="373">
        <v>-0.779252854812398</v>
      </c>
      <c r="EP52" s="375">
        <v>105.6</v>
      </c>
      <c r="EQ52" s="373">
        <v>-0.0989761092150171</v>
      </c>
      <c r="ER52" s="374">
        <v>0</v>
      </c>
      <c r="ES52" s="373">
        <f t="shared" si="130"/>
        <v>-1</v>
      </c>
      <c r="ET52" s="374">
        <v>4.08</v>
      </c>
      <c r="EU52" s="373">
        <f t="shared" si="131"/>
        <v>-0.967438148443735</v>
      </c>
      <c r="EV52" s="374">
        <v>4.04</v>
      </c>
      <c r="EW52" s="373">
        <f t="shared" si="132"/>
        <v>-0.9596</v>
      </c>
      <c r="EX52" s="374">
        <v>4.95</v>
      </c>
      <c r="EY52" s="373">
        <f t="shared" si="133"/>
        <v>-0.950100806451613</v>
      </c>
      <c r="EZ52" s="374">
        <v>4.55</v>
      </c>
      <c r="FA52" s="373">
        <f t="shared" si="134"/>
        <v>-0.956872037914692</v>
      </c>
      <c r="FB52" s="374">
        <v>4.78</v>
      </c>
      <c r="FC52" s="373">
        <f t="shared" si="135"/>
        <v>-0.954302103250478</v>
      </c>
      <c r="FD52" s="374">
        <v>6.08</v>
      </c>
      <c r="FE52" s="373">
        <f t="shared" si="136"/>
        <v>-0.940275049115914</v>
      </c>
      <c r="FF52" s="374">
        <v>4.46</v>
      </c>
      <c r="FG52" s="373">
        <f t="shared" si="137"/>
        <v>-0.956274509803922</v>
      </c>
      <c r="FH52" s="374">
        <v>6.369</v>
      </c>
      <c r="FI52" s="373">
        <f t="shared" si="138"/>
        <v>-0.939169054441261</v>
      </c>
      <c r="FJ52" s="374">
        <v>5.675</v>
      </c>
      <c r="FK52" s="373">
        <f t="shared" si="139"/>
        <v>-0.938978494623656</v>
      </c>
      <c r="FL52" s="374">
        <v>2.666</v>
      </c>
      <c r="FM52" s="373">
        <f t="shared" si="140"/>
        <v>-0.97554128440367</v>
      </c>
      <c r="FN52" s="374">
        <v>153.25</v>
      </c>
      <c r="FO52" s="373">
        <f t="shared" si="142"/>
        <v>-0.884990619136961</v>
      </c>
      <c r="FP52" s="375">
        <v>117.2</v>
      </c>
      <c r="FQ52" s="375">
        <v>170.2</v>
      </c>
      <c r="FR52" s="375">
        <v>125.3</v>
      </c>
      <c r="FS52" s="375">
        <v>100</v>
      </c>
      <c r="FT52" s="375">
        <v>99.2</v>
      </c>
      <c r="FU52" s="375">
        <v>105.5</v>
      </c>
      <c r="FV52" s="484">
        <v>104.6</v>
      </c>
      <c r="FW52" s="484">
        <v>101.8</v>
      </c>
      <c r="FX52" s="484">
        <v>102</v>
      </c>
      <c r="FY52" s="484">
        <v>104.7</v>
      </c>
      <c r="FZ52" s="376">
        <f t="shared" si="143"/>
        <v>-0.0997420464316423</v>
      </c>
      <c r="GA52" s="484">
        <v>93</v>
      </c>
      <c r="GB52" s="376">
        <f t="shared" si="144"/>
        <v>-0.0997095837366892</v>
      </c>
      <c r="GC52" s="484">
        <v>109</v>
      </c>
      <c r="GD52" s="376">
        <f t="shared" si="145"/>
        <v>-0.0991735537190083</v>
      </c>
      <c r="GE52" s="375">
        <f t="shared" si="146"/>
        <v>1332.5</v>
      </c>
      <c r="GF52" s="377">
        <f t="shared" si="147"/>
        <v>-0.099175229853975</v>
      </c>
      <c r="GG52" s="317"/>
      <c r="GH52" s="378"/>
      <c r="GI52" s="379">
        <v>130</v>
      </c>
      <c r="GJ52" s="376">
        <f t="shared" si="148"/>
        <v>-0.0972222222222222</v>
      </c>
      <c r="GK52" s="375">
        <v>189</v>
      </c>
      <c r="GL52" s="376">
        <f t="shared" si="149"/>
        <v>-0.0956937799043062</v>
      </c>
      <c r="GM52" s="375">
        <v>139</v>
      </c>
      <c r="GN52" s="376">
        <f t="shared" si="150"/>
        <v>-0.0974025974025974</v>
      </c>
      <c r="GO52" s="375">
        <v>111</v>
      </c>
      <c r="GP52" s="376">
        <f t="shared" si="151"/>
        <v>-0.0975609756097561</v>
      </c>
      <c r="GQ52" s="375">
        <v>110</v>
      </c>
      <c r="GR52" s="376">
        <f t="shared" si="152"/>
        <v>-0.0983606557377049</v>
      </c>
      <c r="GS52" s="375">
        <v>117.2</v>
      </c>
      <c r="GT52" s="376">
        <f t="shared" si="153"/>
        <v>-0.0984615384615384</v>
      </c>
      <c r="GU52" s="375">
        <v>116.2</v>
      </c>
      <c r="GV52" s="376">
        <f t="shared" si="154"/>
        <v>-0.0992248062015504</v>
      </c>
      <c r="GW52" s="375">
        <v>113</v>
      </c>
      <c r="GX52" s="376">
        <f t="shared" si="155"/>
        <v>-0.096</v>
      </c>
      <c r="GY52" s="375">
        <v>113.2</v>
      </c>
      <c r="GZ52" s="376">
        <f t="shared" si="156"/>
        <v>-0.09800796812749</v>
      </c>
      <c r="HA52" s="375">
        <v>116.3</v>
      </c>
      <c r="HB52" s="376">
        <f t="shared" si="157"/>
        <v>-0.0984496124031008</v>
      </c>
      <c r="HC52" s="375">
        <v>103.3</v>
      </c>
      <c r="HD52" s="376">
        <f t="shared" si="158"/>
        <v>-0.0986038394415358</v>
      </c>
      <c r="HE52" s="375">
        <v>121</v>
      </c>
      <c r="HF52" s="376">
        <f t="shared" si="159"/>
        <v>-0.0983606557377048</v>
      </c>
      <c r="HG52" s="375">
        <f t="shared" si="160"/>
        <v>1479.2</v>
      </c>
      <c r="HH52" s="375">
        <f t="shared" si="161"/>
        <v>1479.2</v>
      </c>
      <c r="HI52" s="377"/>
      <c r="HJ52" s="369"/>
      <c r="HK52" s="485"/>
      <c r="HL52" s="379">
        <v>144</v>
      </c>
      <c r="HM52" s="380">
        <f t="shared" si="162"/>
        <v>-0.0971786833855799</v>
      </c>
      <c r="HN52" s="462">
        <v>209</v>
      </c>
      <c r="HO52" s="380">
        <f t="shared" si="163"/>
        <v>-0.0991379310344828</v>
      </c>
      <c r="HP52" s="462">
        <v>154</v>
      </c>
      <c r="HQ52" s="466">
        <f t="shared" si="164"/>
        <v>-0.0994152046783626</v>
      </c>
      <c r="HR52" s="464">
        <v>123</v>
      </c>
      <c r="HS52" s="465">
        <f t="shared" si="165"/>
        <v>-0.0955882352941176</v>
      </c>
      <c r="HT52" s="464">
        <v>122</v>
      </c>
      <c r="HU52" s="465">
        <f t="shared" si="166"/>
        <v>-0.0962962962962963</v>
      </c>
      <c r="HV52" s="466"/>
      <c r="HW52" s="464">
        <v>130</v>
      </c>
      <c r="HX52" s="465">
        <f t="shared" si="167"/>
        <v>-0.0972222222222222</v>
      </c>
      <c r="HY52" s="464">
        <v>129</v>
      </c>
      <c r="HZ52" s="465">
        <f t="shared" si="168"/>
        <v>-0.0979020979020979</v>
      </c>
      <c r="IA52" s="464">
        <v>125</v>
      </c>
      <c r="IB52" s="390">
        <f t="shared" si="169"/>
        <v>-0.0942028985507246</v>
      </c>
      <c r="IC52" s="464">
        <v>125.5</v>
      </c>
      <c r="ID52" s="390">
        <f t="shared" si="170"/>
        <v>-0.0971223021582734</v>
      </c>
      <c r="IE52" s="464">
        <v>129</v>
      </c>
      <c r="IF52" s="377">
        <f t="shared" si="171"/>
        <v>-0.0979020979020979</v>
      </c>
      <c r="IG52" s="464">
        <v>114.6</v>
      </c>
      <c r="IH52" s="390">
        <f t="shared" si="172"/>
        <v>-0.0976377952755906</v>
      </c>
      <c r="II52" s="375">
        <v>134.2</v>
      </c>
      <c r="IJ52" s="309">
        <f t="shared" si="173"/>
        <v>-0.0993288590604028</v>
      </c>
      <c r="IK52" s="391">
        <f t="shared" si="174"/>
        <v>1639.3</v>
      </c>
      <c r="IL52" s="104">
        <f t="shared" si="175"/>
        <v>-0.0975502339664189</v>
      </c>
      <c r="IM52" s="392"/>
      <c r="IN52" s="467">
        <v>159.5</v>
      </c>
      <c r="IO52" s="413">
        <f t="shared" si="176"/>
        <v>-0.0687295645025165</v>
      </c>
      <c r="IP52" s="414">
        <v>232</v>
      </c>
      <c r="IQ52" s="413">
        <f t="shared" si="177"/>
        <v>-0.0130282565643701</v>
      </c>
      <c r="IR52" s="414">
        <v>171</v>
      </c>
      <c r="IS52" s="394">
        <f t="shared" si="178"/>
        <v>-0.0944502790200208</v>
      </c>
      <c r="IT52" s="513">
        <v>136</v>
      </c>
      <c r="IU52" s="413">
        <f t="shared" si="179"/>
        <v>-0.0908258016910371</v>
      </c>
      <c r="IV52" s="513">
        <v>135</v>
      </c>
      <c r="IW52" s="413">
        <f t="shared" si="180"/>
        <v>-0.0960799271026583</v>
      </c>
      <c r="IX52" s="513">
        <v>144</v>
      </c>
      <c r="IY52" s="413">
        <f t="shared" si="181"/>
        <v>-0.0921932710572404</v>
      </c>
      <c r="IZ52" s="513">
        <v>143</v>
      </c>
      <c r="JA52" s="413">
        <f t="shared" si="182"/>
        <v>-0.0960321880461871</v>
      </c>
      <c r="JB52" s="414">
        <v>138</v>
      </c>
      <c r="JC52" s="413">
        <f t="shared" si="183"/>
        <v>-0.0974854629035967</v>
      </c>
      <c r="JD52" s="414">
        <v>139</v>
      </c>
      <c r="JE52" s="469">
        <f t="shared" si="184"/>
        <v>-0.095191090235574</v>
      </c>
      <c r="JF52" s="414">
        <v>143</v>
      </c>
      <c r="JG52" s="418">
        <f t="shared" si="185"/>
        <v>-0.0986234244589606</v>
      </c>
      <c r="JH52" s="375">
        <v>127</v>
      </c>
      <c r="JI52" s="398">
        <f t="shared" si="186"/>
        <v>-0.106364169336268</v>
      </c>
      <c r="JJ52" s="472">
        <v>149</v>
      </c>
      <c r="JK52" s="398">
        <f t="shared" si="187"/>
        <v>-0.115570739804846</v>
      </c>
      <c r="JL52" s="399">
        <f t="shared" si="126"/>
        <v>1816.5</v>
      </c>
      <c r="JM52" s="398">
        <f t="shared" si="188"/>
        <v>-0.0856618826813356</v>
      </c>
      <c r="JN52" s="400"/>
      <c r="JO52" s="383">
        <v>1986.68300663978</v>
      </c>
      <c r="JP52" s="374">
        <v>171.271409378303</v>
      </c>
      <c r="JQ52" s="374">
        <v>235.062453958826</v>
      </c>
      <c r="JR52" s="374">
        <v>188.835572512733</v>
      </c>
      <c r="JS52" s="374">
        <v>149.586295181887</v>
      </c>
      <c r="JT52" s="374">
        <v>149.349487911341</v>
      </c>
      <c r="JU52" s="374">
        <v>158.624072072812</v>
      </c>
      <c r="JV52" s="374">
        <v>158.191473312444</v>
      </c>
      <c r="JW52" s="374">
        <v>152.906124309064</v>
      </c>
      <c r="JX52" s="374">
        <v>153.623597756337</v>
      </c>
      <c r="JY52" s="374">
        <v>158.646234970291</v>
      </c>
      <c r="JZ52" s="374">
        <v>142.116056275041</v>
      </c>
      <c r="KA52" s="374">
        <v>168.470229000703</v>
      </c>
    </row>
    <row r="53" s="285" customFormat="1" ht="28.8" hidden="1" customHeight="1" spans="1:287">
      <c r="A53" s="28"/>
      <c r="B53" s="141" t="s">
        <v>209</v>
      </c>
      <c r="C53" s="163">
        <v>237.4332</v>
      </c>
      <c r="D53" s="359">
        <f t="shared" si="76"/>
        <v>-0.106984070507553</v>
      </c>
      <c r="E53" s="163">
        <v>176.7706</v>
      </c>
      <c r="F53" s="359">
        <f t="shared" si="77"/>
        <v>-0.100896862126966</v>
      </c>
      <c r="G53" s="163">
        <v>172.2912</v>
      </c>
      <c r="H53" s="359">
        <f t="shared" si="78"/>
        <v>0.069308110523572</v>
      </c>
      <c r="I53" s="163">
        <v>179.4491</v>
      </c>
      <c r="J53" s="359">
        <f t="shared" si="79"/>
        <v>0.221724543136045</v>
      </c>
      <c r="K53" s="163">
        <v>154.2538</v>
      </c>
      <c r="L53" s="359">
        <f t="shared" si="80"/>
        <v>-0.0652315926364485</v>
      </c>
      <c r="M53" s="163">
        <v>175.321</v>
      </c>
      <c r="N53" s="359">
        <f t="shared" si="81"/>
        <v>-0.0277121529741902</v>
      </c>
      <c r="O53" s="163">
        <v>169.9825</v>
      </c>
      <c r="P53" s="359">
        <f t="shared" si="82"/>
        <v>-0.101985345005204</v>
      </c>
      <c r="Q53" s="127"/>
      <c r="R53" s="127"/>
      <c r="S53" s="109">
        <f t="shared" si="95"/>
        <v>1265.5014</v>
      </c>
      <c r="T53" s="359">
        <f t="shared" si="96"/>
        <v>-0.170921202158341</v>
      </c>
      <c r="U53" s="359"/>
      <c r="V53" s="163">
        <v>265.8779</v>
      </c>
      <c r="W53" s="359">
        <f t="shared" si="83"/>
        <v>0.0767639803647371</v>
      </c>
      <c r="X53" s="93">
        <v>196.6077</v>
      </c>
      <c r="Y53" s="402">
        <f t="shared" si="84"/>
        <v>0.557510773813296</v>
      </c>
      <c r="Z53" s="93">
        <v>161.124</v>
      </c>
      <c r="AA53" s="402">
        <f t="shared" si="85"/>
        <v>0.195421128425195</v>
      </c>
      <c r="AB53" s="93">
        <v>146.8818</v>
      </c>
      <c r="AC53" s="402">
        <f t="shared" si="86"/>
        <v>-0.0915484987045694</v>
      </c>
      <c r="AD53" s="93">
        <v>165.0182</v>
      </c>
      <c r="AE53" s="402">
        <f t="shared" si="87"/>
        <v>-0.121539446779945</v>
      </c>
      <c r="AF53" s="93">
        <v>180.318</v>
      </c>
      <c r="AG53" s="402">
        <f t="shared" si="88"/>
        <v>-0.116384506371393</v>
      </c>
      <c r="AH53" s="93">
        <v>189.287</v>
      </c>
      <c r="AI53" s="402">
        <f t="shared" si="89"/>
        <v>-0.276876134853335</v>
      </c>
      <c r="AJ53" s="93">
        <v>221.28</v>
      </c>
      <c r="AK53" s="402">
        <f t="shared" si="90"/>
        <v>-0.1430735652446</v>
      </c>
      <c r="AL53" s="93">
        <v>248.1032</v>
      </c>
      <c r="AM53" s="402">
        <f t="shared" si="91"/>
        <v>-0.0071539219715484</v>
      </c>
      <c r="AN53" s="93">
        <v>208.8209</v>
      </c>
      <c r="AO53" s="402">
        <f t="shared" si="92"/>
        <v>-0.0537509040124559</v>
      </c>
      <c r="AP53" s="93">
        <v>208.7586</v>
      </c>
      <c r="AQ53" s="402">
        <f t="shared" si="93"/>
        <v>-0.0843945147512769</v>
      </c>
      <c r="AR53" s="93">
        <v>205.6995</v>
      </c>
      <c r="AS53" s="402">
        <f t="shared" si="94"/>
        <v>-0.0940347526823374</v>
      </c>
      <c r="AT53" s="107">
        <f t="shared" si="97"/>
        <v>2397.7768</v>
      </c>
      <c r="AU53" s="359">
        <f t="shared" si="98"/>
        <v>-0.0436257727040462</v>
      </c>
      <c r="AV53" s="360"/>
      <c r="AW53" s="473">
        <v>246.9231</v>
      </c>
      <c r="AX53" s="474">
        <v>1.90179932332939</v>
      </c>
      <c r="AY53" s="448">
        <v>126.232</v>
      </c>
      <c r="AZ53" s="475">
        <f t="shared" si="65"/>
        <v>0.188433877407687</v>
      </c>
      <c r="BA53" s="448">
        <v>134.7843</v>
      </c>
      <c r="BB53" s="475">
        <f t="shared" si="66"/>
        <v>0.0857242052064444</v>
      </c>
      <c r="BC53" s="448">
        <v>161.6837</v>
      </c>
      <c r="BD53" s="475">
        <f t="shared" si="67"/>
        <v>0.0681046464924056</v>
      </c>
      <c r="BE53" s="476">
        <v>187.8493</v>
      </c>
      <c r="BF53" s="475">
        <f t="shared" si="68"/>
        <v>0.0817322753028977</v>
      </c>
      <c r="BG53" s="163">
        <v>204.0684</v>
      </c>
      <c r="BH53" s="475">
        <f t="shared" si="69"/>
        <v>0.187855109295518</v>
      </c>
      <c r="BI53" s="163">
        <v>261.7629</v>
      </c>
      <c r="BJ53" s="475">
        <f t="shared" si="70"/>
        <v>0.220729127609923</v>
      </c>
      <c r="BK53" s="163">
        <v>258.2252</v>
      </c>
      <c r="BL53" s="475">
        <f t="shared" si="71"/>
        <v>0.240090092253315</v>
      </c>
      <c r="BM53" s="163">
        <v>249.8909</v>
      </c>
      <c r="BN53" s="475">
        <f t="shared" si="72"/>
        <v>0.256557189513726</v>
      </c>
      <c r="BO53" s="163">
        <v>220.6828</v>
      </c>
      <c r="BP53" s="475">
        <f t="shared" si="73"/>
        <v>-0.0523233843151806</v>
      </c>
      <c r="BQ53" s="163">
        <v>228.0006</v>
      </c>
      <c r="BR53" s="475">
        <f t="shared" si="74"/>
        <v>-0.096046761219398</v>
      </c>
      <c r="BS53" s="163">
        <v>227.0501</v>
      </c>
      <c r="BT53" s="475">
        <f t="shared" si="75"/>
        <v>-0.096031258472837</v>
      </c>
      <c r="BU53" s="109">
        <f t="shared" si="99"/>
        <v>2507.1533</v>
      </c>
      <c r="BV53" s="359">
        <f t="shared" si="100"/>
        <v>0.155330626237083</v>
      </c>
      <c r="BW53" s="429"/>
      <c r="BX53" s="473">
        <v>85.0931</v>
      </c>
      <c r="BY53" s="475">
        <f t="shared" si="101"/>
        <v>-0.124369206579186</v>
      </c>
      <c r="BZ53" s="473">
        <v>106.2171</v>
      </c>
      <c r="CA53" s="475">
        <f t="shared" si="102"/>
        <v>-0.07034564970802</v>
      </c>
      <c r="CB53" s="448">
        <v>124.1423</v>
      </c>
      <c r="CC53" s="359">
        <f t="shared" si="103"/>
        <v>0.152531688463849</v>
      </c>
      <c r="CD53" s="109">
        <v>151.3744</v>
      </c>
      <c r="CE53" s="359">
        <v>0.578785214480973</v>
      </c>
      <c r="CF53" s="163">
        <v>173.656</v>
      </c>
      <c r="CG53" s="359">
        <f t="shared" si="104"/>
        <v>0.763592343440252</v>
      </c>
      <c r="CH53" s="163">
        <v>171.7957</v>
      </c>
      <c r="CI53" s="359">
        <f t="shared" si="105"/>
        <v>0.636989845263426</v>
      </c>
      <c r="CJ53" s="163">
        <v>214.4316</v>
      </c>
      <c r="CK53" s="359">
        <f t="shared" si="106"/>
        <v>0.942573875325791</v>
      </c>
      <c r="CL53" s="109">
        <v>208.231</v>
      </c>
      <c r="CM53" s="359">
        <f t="shared" si="107"/>
        <v>1.68951683733041</v>
      </c>
      <c r="CN53" s="109">
        <v>198.8695</v>
      </c>
      <c r="CO53" s="359">
        <f t="shared" si="108"/>
        <v>1.73992108257948</v>
      </c>
      <c r="CP53" s="109">
        <v>232.8672</v>
      </c>
      <c r="CQ53" s="359">
        <f t="shared" si="109"/>
        <v>2.73356335365785</v>
      </c>
      <c r="CR53" s="109">
        <v>252.2261</v>
      </c>
      <c r="CS53" s="359">
        <f t="shared" si="110"/>
        <v>2.2910246005381</v>
      </c>
      <c r="CT53" s="109">
        <v>251.1703</v>
      </c>
      <c r="CU53" s="359">
        <f t="shared" si="111"/>
        <v>2.82247583276517</v>
      </c>
      <c r="CV53" s="109">
        <f t="shared" si="112"/>
        <v>2170.0743</v>
      </c>
      <c r="CW53" s="359">
        <f t="shared" si="113"/>
        <v>1.00274255589006</v>
      </c>
      <c r="CX53" s="408">
        <f t="shared" si="114"/>
        <v>-0.00418592683310726</v>
      </c>
      <c r="CY53" s="408"/>
      <c r="CZ53" s="477">
        <v>97.1792</v>
      </c>
      <c r="DA53" s="473">
        <v>114.2544</v>
      </c>
      <c r="DB53" s="473">
        <v>107.7127</v>
      </c>
      <c r="DC53" s="473">
        <v>95.8803</v>
      </c>
      <c r="DD53" s="448">
        <v>98.4672</v>
      </c>
      <c r="DE53" s="448">
        <v>104.9461</v>
      </c>
      <c r="DF53" s="448">
        <v>110.3853</v>
      </c>
      <c r="DG53" s="448">
        <v>77.4232</v>
      </c>
      <c r="DH53" s="448">
        <v>72.5822</v>
      </c>
      <c r="DI53" s="448">
        <v>62.3713</v>
      </c>
      <c r="DJ53" s="448">
        <v>76.6406</v>
      </c>
      <c r="DK53" s="448">
        <v>65.7088</v>
      </c>
      <c r="DL53" s="448">
        <v>1083.5513</v>
      </c>
      <c r="DM53" s="449">
        <v>-0.683534311901525</v>
      </c>
      <c r="DN53" s="411"/>
      <c r="DO53" s="412">
        <v>93.5929</v>
      </c>
      <c r="DP53" s="87">
        <f t="shared" si="128"/>
        <v>-0.843408198035393</v>
      </c>
      <c r="DQ53" s="103">
        <v>113.7925</v>
      </c>
      <c r="DR53" s="104"/>
      <c r="DS53" s="103">
        <v>472.2256</v>
      </c>
      <c r="DT53" s="104">
        <f t="shared" si="115"/>
        <v>1.50584027593526</v>
      </c>
      <c r="DU53" s="103"/>
      <c r="DV53" s="103">
        <v>475.2118</v>
      </c>
      <c r="DW53" s="104">
        <f t="shared" si="116"/>
        <v>1.1920374556022</v>
      </c>
      <c r="DX53" s="103">
        <v>597.6871</v>
      </c>
      <c r="DY53" s="104">
        <f t="shared" si="117"/>
        <v>1.83264028436019</v>
      </c>
      <c r="DZ53" s="103">
        <v>637.152</v>
      </c>
      <c r="EA53" s="104">
        <f t="shared" si="118"/>
        <v>0.954453987730062</v>
      </c>
      <c r="EB53" s="103">
        <v>442.6371</v>
      </c>
      <c r="EC53" s="104">
        <f t="shared" si="119"/>
        <v>0.832865838509317</v>
      </c>
      <c r="ED53" s="103">
        <v>87.5883</v>
      </c>
      <c r="EE53" s="104">
        <f t="shared" si="120"/>
        <v>-0.789703961584634</v>
      </c>
      <c r="EF53" s="103">
        <v>126.9316</v>
      </c>
      <c r="EG53" s="104">
        <f t="shared" si="121"/>
        <v>-0.629937026239067</v>
      </c>
      <c r="EH53" s="103">
        <v>131.9552</v>
      </c>
      <c r="EI53" s="104">
        <f t="shared" si="122"/>
        <v>-0.775750386622028</v>
      </c>
      <c r="EJ53" s="103">
        <v>128.7484</v>
      </c>
      <c r="EK53" s="104">
        <f t="shared" si="123"/>
        <v>-0.706609848916437</v>
      </c>
      <c r="EL53" s="103">
        <v>116.3915</v>
      </c>
      <c r="EM53" s="104">
        <f t="shared" si="124"/>
        <v>-0.666450302050735</v>
      </c>
      <c r="EN53" s="93">
        <f t="shared" si="127"/>
        <v>3423.914</v>
      </c>
      <c r="EO53" s="104">
        <v>-0.52586877313248</v>
      </c>
      <c r="EP53" s="478">
        <v>3902</v>
      </c>
      <c r="EQ53" s="104">
        <v>-0.0988452655889145</v>
      </c>
      <c r="ER53" s="103">
        <v>0</v>
      </c>
      <c r="ES53" s="104">
        <f t="shared" si="130"/>
        <v>-1</v>
      </c>
      <c r="ET53" s="103">
        <v>188.45</v>
      </c>
      <c r="EU53" s="104">
        <f t="shared" si="131"/>
        <v>-0.961422722620266</v>
      </c>
      <c r="EV53" s="103">
        <v>216.79</v>
      </c>
      <c r="EW53" s="104">
        <f t="shared" si="132"/>
        <v>-0.946085550857996</v>
      </c>
      <c r="EX53" s="103">
        <v>211</v>
      </c>
      <c r="EY53" s="104">
        <f t="shared" si="133"/>
        <v>-0.955986649979141</v>
      </c>
      <c r="EZ53" s="103">
        <v>326</v>
      </c>
      <c r="FA53" s="104">
        <f t="shared" si="134"/>
        <v>-0.924867480986402</v>
      </c>
      <c r="FB53" s="103">
        <v>241.5</v>
      </c>
      <c r="FC53" s="104">
        <f t="shared" si="135"/>
        <v>-0.947166921898928</v>
      </c>
      <c r="FD53" s="103">
        <v>416.5</v>
      </c>
      <c r="FE53" s="104">
        <f t="shared" si="136"/>
        <v>-0.906844106463878</v>
      </c>
      <c r="FF53" s="103">
        <v>343</v>
      </c>
      <c r="FG53" s="104">
        <f t="shared" si="137"/>
        <v>-0.929957116602001</v>
      </c>
      <c r="FH53" s="103">
        <v>588.43</v>
      </c>
      <c r="FI53" s="104">
        <f t="shared" si="138"/>
        <v>-0.862516355140187</v>
      </c>
      <c r="FJ53" s="103">
        <v>438.83</v>
      </c>
      <c r="FK53" s="104">
        <f t="shared" si="139"/>
        <v>-0.882759818327545</v>
      </c>
      <c r="FL53" s="103">
        <v>348.948</v>
      </c>
      <c r="FM53" s="104">
        <f t="shared" si="140"/>
        <v>-0.945297382034802</v>
      </c>
      <c r="FN53" s="103">
        <v>7221.448</v>
      </c>
      <c r="FO53" s="104">
        <f t="shared" si="142"/>
        <v>-0.872707197123266</v>
      </c>
      <c r="FP53" s="478">
        <v>4330</v>
      </c>
      <c r="FQ53" s="478">
        <v>6021</v>
      </c>
      <c r="FR53" s="478">
        <v>4885</v>
      </c>
      <c r="FS53" s="478">
        <v>4021</v>
      </c>
      <c r="FT53" s="478">
        <v>4794</v>
      </c>
      <c r="FU53" s="478">
        <v>4339</v>
      </c>
      <c r="FV53" s="480">
        <v>4571</v>
      </c>
      <c r="FW53" s="480">
        <v>4471</v>
      </c>
      <c r="FX53" s="480">
        <v>4897</v>
      </c>
      <c r="FY53" s="480">
        <v>4280</v>
      </c>
      <c r="FZ53" s="413">
        <f t="shared" si="143"/>
        <v>-0.0995160950978329</v>
      </c>
      <c r="GA53" s="480">
        <v>3743</v>
      </c>
      <c r="GB53" s="413">
        <f t="shared" si="144"/>
        <v>-0.0995910512388742</v>
      </c>
      <c r="GC53" s="480">
        <v>6379</v>
      </c>
      <c r="GD53" s="413">
        <f t="shared" si="145"/>
        <v>-0.099138539754272</v>
      </c>
      <c r="GE53" s="414">
        <f t="shared" si="146"/>
        <v>56731</v>
      </c>
      <c r="GF53" s="481">
        <f t="shared" si="147"/>
        <v>-0.0990789264729236</v>
      </c>
      <c r="GG53" s="415"/>
      <c r="GH53" s="392"/>
      <c r="GI53" s="417">
        <v>4804</v>
      </c>
      <c r="GJ53" s="104">
        <f t="shared" si="148"/>
        <v>-0.0969924812030075</v>
      </c>
      <c r="GK53" s="103">
        <v>6684</v>
      </c>
      <c r="GL53" s="104">
        <f t="shared" si="149"/>
        <v>-0.0955345060893099</v>
      </c>
      <c r="GM53" s="103">
        <v>5419</v>
      </c>
      <c r="GN53" s="104">
        <f t="shared" si="150"/>
        <v>-0.0972846909878394</v>
      </c>
      <c r="GO53" s="103">
        <v>4463</v>
      </c>
      <c r="GP53" s="104">
        <f t="shared" si="151"/>
        <v>-0.0974721941354904</v>
      </c>
      <c r="GQ53" s="103">
        <v>5318</v>
      </c>
      <c r="GR53" s="104">
        <f t="shared" si="152"/>
        <v>-0.0981855180600305</v>
      </c>
      <c r="GS53" s="103">
        <v>4820</v>
      </c>
      <c r="GT53" s="104">
        <f t="shared" si="153"/>
        <v>-0.0983913206135428</v>
      </c>
      <c r="GU53" s="103">
        <v>5077</v>
      </c>
      <c r="GV53" s="104">
        <f t="shared" si="154"/>
        <v>-0.0991838183108588</v>
      </c>
      <c r="GW53" s="103">
        <v>4962</v>
      </c>
      <c r="GX53" s="104">
        <f t="shared" si="155"/>
        <v>-0.0958454810495627</v>
      </c>
      <c r="GY53" s="103">
        <v>5432</v>
      </c>
      <c r="GZ53" s="104">
        <f t="shared" si="156"/>
        <v>-0.0979740949850548</v>
      </c>
      <c r="HA53" s="103">
        <v>4753</v>
      </c>
      <c r="HB53" s="104">
        <f t="shared" si="157"/>
        <v>-0.098273572377158</v>
      </c>
      <c r="HC53" s="103">
        <v>4157</v>
      </c>
      <c r="HD53" s="104">
        <f t="shared" si="158"/>
        <v>-0.0988510730544114</v>
      </c>
      <c r="HE53" s="103">
        <v>7081</v>
      </c>
      <c r="HF53" s="104">
        <f t="shared" si="159"/>
        <v>-0.0984211866564808</v>
      </c>
      <c r="HG53" s="414">
        <f t="shared" si="160"/>
        <v>62970</v>
      </c>
      <c r="HH53" s="103">
        <f t="shared" si="161"/>
        <v>62970</v>
      </c>
      <c r="HI53" s="394"/>
      <c r="HJ53" s="411"/>
      <c r="HK53" s="493"/>
      <c r="HL53" s="417">
        <v>5320</v>
      </c>
      <c r="HM53" s="418">
        <f t="shared" si="162"/>
        <v>-0.099266884513147</v>
      </c>
      <c r="HN53" s="421">
        <v>7390</v>
      </c>
      <c r="HO53" s="418">
        <f t="shared" si="163"/>
        <v>-0.0991100816774351</v>
      </c>
      <c r="HP53" s="421">
        <v>6003</v>
      </c>
      <c r="HQ53" s="423">
        <f t="shared" si="164"/>
        <v>-0.0991896758703481</v>
      </c>
      <c r="HR53" s="439">
        <v>4945</v>
      </c>
      <c r="HS53" s="304">
        <f t="shared" si="165"/>
        <v>-0.0966386554621849</v>
      </c>
      <c r="HT53" s="439">
        <v>5897</v>
      </c>
      <c r="HU53" s="304">
        <f t="shared" si="166"/>
        <v>-0.096937212863706</v>
      </c>
      <c r="HV53" s="423"/>
      <c r="HW53" s="439">
        <v>5346</v>
      </c>
      <c r="HX53" s="304">
        <f t="shared" si="167"/>
        <v>-0.0969594594594595</v>
      </c>
      <c r="HY53" s="439">
        <v>5636</v>
      </c>
      <c r="HZ53" s="304">
        <f t="shared" si="168"/>
        <v>-0.0975180144115292</v>
      </c>
      <c r="IA53" s="439">
        <v>5488</v>
      </c>
      <c r="IB53" s="422">
        <f t="shared" si="169"/>
        <v>-0.0942399735930022</v>
      </c>
      <c r="IC53" s="439">
        <v>6022</v>
      </c>
      <c r="ID53" s="425">
        <f t="shared" si="170"/>
        <v>-0.0970160443844654</v>
      </c>
      <c r="IE53" s="439">
        <v>5271</v>
      </c>
      <c r="IF53" s="500">
        <f t="shared" si="171"/>
        <v>-0.0978949169946945</v>
      </c>
      <c r="IG53" s="439">
        <v>4613</v>
      </c>
      <c r="IH53" s="309">
        <f t="shared" si="172"/>
        <v>-0.0974369008021913</v>
      </c>
      <c r="II53" s="103">
        <v>7854</v>
      </c>
      <c r="IJ53" s="309">
        <f t="shared" si="173"/>
        <v>-0.0984848484848485</v>
      </c>
      <c r="IK53" s="391">
        <f t="shared" si="174"/>
        <v>69785</v>
      </c>
      <c r="IL53" s="104">
        <f t="shared" si="175"/>
        <v>-0.0976423749261344</v>
      </c>
      <c r="IM53" s="392"/>
      <c r="IN53" s="417">
        <v>5906.3</v>
      </c>
      <c r="IO53" s="104">
        <f t="shared" si="176"/>
        <v>-0.0218486143992732</v>
      </c>
      <c r="IP53" s="103">
        <v>8203</v>
      </c>
      <c r="IQ53" s="104">
        <f t="shared" si="177"/>
        <v>-0.0113479692807114</v>
      </c>
      <c r="IR53" s="103">
        <v>6664</v>
      </c>
      <c r="IS53" s="394">
        <f t="shared" si="178"/>
        <v>-0.0910267117182917</v>
      </c>
      <c r="IT53" s="517">
        <v>5474</v>
      </c>
      <c r="IU53" s="104">
        <f t="shared" si="179"/>
        <v>-0.0931562426112234</v>
      </c>
      <c r="IV53" s="517">
        <v>6530</v>
      </c>
      <c r="IW53" s="104">
        <f t="shared" si="180"/>
        <v>-0.0913593863818215</v>
      </c>
      <c r="IX53" s="517">
        <v>5920</v>
      </c>
      <c r="IY53" s="104">
        <f t="shared" si="181"/>
        <v>-0.0911726779755201</v>
      </c>
      <c r="IZ53" s="517">
        <v>6245</v>
      </c>
      <c r="JA53" s="104">
        <f t="shared" si="182"/>
        <v>-0.0943130742038607</v>
      </c>
      <c r="JB53" s="103">
        <v>6059</v>
      </c>
      <c r="JC53" s="104">
        <f t="shared" si="183"/>
        <v>-0.0973578260458643</v>
      </c>
      <c r="JD53" s="103">
        <v>6669</v>
      </c>
      <c r="JE53" s="394">
        <f t="shared" si="184"/>
        <v>-0.0981735820336527</v>
      </c>
      <c r="JF53" s="103">
        <v>5843</v>
      </c>
      <c r="JG53" s="418">
        <f t="shared" si="185"/>
        <v>-0.100695381672748</v>
      </c>
      <c r="JH53" s="103">
        <v>5111</v>
      </c>
      <c r="JI53" s="418">
        <f t="shared" si="186"/>
        <v>-0.104173958258015</v>
      </c>
      <c r="JJ53" s="103">
        <v>8712</v>
      </c>
      <c r="JK53" s="418">
        <f t="shared" si="187"/>
        <v>-0.115800394026788</v>
      </c>
      <c r="JL53" s="399">
        <f t="shared" si="126"/>
        <v>77336.3</v>
      </c>
      <c r="JM53" s="398">
        <f t="shared" si="188"/>
        <v>-0.0843646461561399</v>
      </c>
      <c r="JN53" s="400"/>
      <c r="JO53" s="417">
        <v>84461.8981512021</v>
      </c>
      <c r="JP53" s="103">
        <v>6038.22689099671</v>
      </c>
      <c r="JQ53" s="103">
        <v>8297.15586992923</v>
      </c>
      <c r="JR53" s="103">
        <v>7331.34855106402</v>
      </c>
      <c r="JS53" s="103">
        <v>6036.32098186592</v>
      </c>
      <c r="JT53" s="103">
        <v>7186.55968281865</v>
      </c>
      <c r="JU53" s="103">
        <v>6513.88867448743</v>
      </c>
      <c r="JV53" s="103">
        <v>6895.31870465102</v>
      </c>
      <c r="JW53" s="103">
        <v>6712.51596128929</v>
      </c>
      <c r="JX53" s="103">
        <v>7394.99294669017</v>
      </c>
      <c r="JY53" s="103">
        <v>6497.24229245953</v>
      </c>
      <c r="JZ53" s="103">
        <v>5705.348763987</v>
      </c>
      <c r="KA53" s="103">
        <v>9852.97883096313</v>
      </c>
    </row>
    <row r="54" s="284" customFormat="1" ht="28.8" hidden="1" customHeight="1" spans="1:287">
      <c r="A54" s="298" t="s">
        <v>110</v>
      </c>
      <c r="B54" s="164" t="s">
        <v>206</v>
      </c>
      <c r="C54" s="109">
        <v>3.0068</v>
      </c>
      <c r="D54" s="359">
        <f t="shared" si="76"/>
        <v>-0.50232550441101</v>
      </c>
      <c r="E54" s="163">
        <v>3.7154</v>
      </c>
      <c r="F54" s="359">
        <f t="shared" si="77"/>
        <v>-0.383683896224537</v>
      </c>
      <c r="G54" s="163">
        <v>3.4623</v>
      </c>
      <c r="H54" s="359">
        <f t="shared" si="78"/>
        <v>-0.44355694127479</v>
      </c>
      <c r="I54" s="163">
        <v>4.4253</v>
      </c>
      <c r="J54" s="359">
        <f t="shared" si="79"/>
        <v>-0.315562360801782</v>
      </c>
      <c r="K54" s="163">
        <v>4.3403</v>
      </c>
      <c r="L54" s="359">
        <f t="shared" si="80"/>
        <v>-0.261351259360109</v>
      </c>
      <c r="M54" s="163">
        <v>4.3662</v>
      </c>
      <c r="N54" s="359">
        <f t="shared" si="81"/>
        <v>-0.195066644543996</v>
      </c>
      <c r="O54" s="163">
        <v>4.9799</v>
      </c>
      <c r="P54" s="359">
        <f t="shared" si="82"/>
        <v>-0.072125954909633</v>
      </c>
      <c r="Q54" s="127"/>
      <c r="R54" s="127"/>
      <c r="S54" s="109">
        <f t="shared" si="95"/>
        <v>28.2962</v>
      </c>
      <c r="T54" s="359">
        <f t="shared" si="96"/>
        <v>-0.394982167751426</v>
      </c>
      <c r="U54" s="359"/>
      <c r="V54" s="109">
        <v>6.0417</v>
      </c>
      <c r="W54" s="359">
        <f t="shared" si="83"/>
        <v>-0.655104895104895</v>
      </c>
      <c r="X54" s="109">
        <v>6.0284</v>
      </c>
      <c r="Y54" s="359">
        <f t="shared" si="84"/>
        <v>-0.697798809923653</v>
      </c>
      <c r="Z54" s="109">
        <v>6.2222</v>
      </c>
      <c r="AA54" s="359">
        <f t="shared" si="85"/>
        <v>-0.631937912962207</v>
      </c>
      <c r="AB54" s="109">
        <v>6.4656</v>
      </c>
      <c r="AC54" s="359">
        <f t="shared" si="86"/>
        <v>-0.436504823907757</v>
      </c>
      <c r="AD54" s="109">
        <v>5.876</v>
      </c>
      <c r="AE54" s="359">
        <f t="shared" si="87"/>
        <v>-0.490589428603629</v>
      </c>
      <c r="AF54" s="109">
        <v>5.4243</v>
      </c>
      <c r="AG54" s="359">
        <f t="shared" si="88"/>
        <v>-0.457173736827884</v>
      </c>
      <c r="AH54" s="109">
        <v>5.367</v>
      </c>
      <c r="AI54" s="359">
        <f t="shared" si="89"/>
        <v>-0.467390441409971</v>
      </c>
      <c r="AJ54" s="109">
        <v>5.344</v>
      </c>
      <c r="AK54" s="359">
        <f t="shared" si="90"/>
        <v>-0.471377840206542</v>
      </c>
      <c r="AL54" s="109">
        <v>5.0093</v>
      </c>
      <c r="AM54" s="359">
        <f t="shared" si="91"/>
        <v>-0.446651275310128</v>
      </c>
      <c r="AN54" s="109">
        <v>4.5789</v>
      </c>
      <c r="AO54" s="359">
        <f t="shared" si="92"/>
        <v>-0.489668316169587</v>
      </c>
      <c r="AP54" s="109">
        <v>4.2379</v>
      </c>
      <c r="AQ54" s="359">
        <f t="shared" si="93"/>
        <v>-0.512913050974082</v>
      </c>
      <c r="AR54" s="109">
        <v>3.6481</v>
      </c>
      <c r="AS54" s="359">
        <f t="shared" si="94"/>
        <v>-0.319600126825447</v>
      </c>
      <c r="AT54" s="107">
        <f t="shared" si="97"/>
        <v>64.2434</v>
      </c>
      <c r="AU54" s="359">
        <f t="shared" si="98"/>
        <v>-0.539955974455445</v>
      </c>
      <c r="AV54" s="360"/>
      <c r="AW54" s="450">
        <v>17.5175</v>
      </c>
      <c r="AX54" s="361">
        <v>0.106776180698152</v>
      </c>
      <c r="AY54" s="108">
        <v>19.9483</v>
      </c>
      <c r="AZ54" s="361">
        <f t="shared" si="65"/>
        <v>0.227973086938054</v>
      </c>
      <c r="BA54" s="108">
        <v>16.9053</v>
      </c>
      <c r="BB54" s="361">
        <f t="shared" si="66"/>
        <v>0.0215114838694084</v>
      </c>
      <c r="BC54" s="108">
        <v>11.4741</v>
      </c>
      <c r="BD54" s="361">
        <f t="shared" si="67"/>
        <v>-0.308126458475287</v>
      </c>
      <c r="BE54" s="483">
        <v>11.5349</v>
      </c>
      <c r="BF54" s="361">
        <f t="shared" si="68"/>
        <v>-0.348759612018834</v>
      </c>
      <c r="BG54" s="363">
        <v>9.9927</v>
      </c>
      <c r="BH54" s="361">
        <f t="shared" si="69"/>
        <v>-0.492235693452169</v>
      </c>
      <c r="BI54" s="363">
        <v>10.0768</v>
      </c>
      <c r="BJ54" s="361">
        <f t="shared" si="70"/>
        <v>-0.521485385948667</v>
      </c>
      <c r="BK54" s="363">
        <v>10.1093</v>
      </c>
      <c r="BL54" s="361">
        <f t="shared" si="71"/>
        <v>-0.534883827927306</v>
      </c>
      <c r="BM54" s="363">
        <v>9.0527</v>
      </c>
      <c r="BN54" s="361">
        <f t="shared" si="72"/>
        <v>-0.58386043945941</v>
      </c>
      <c r="BO54" s="363">
        <v>8.9724</v>
      </c>
      <c r="BP54" s="361">
        <f t="shared" si="73"/>
        <v>-0.526384966613001</v>
      </c>
      <c r="BQ54" s="363">
        <v>8.7005</v>
      </c>
      <c r="BR54" s="361">
        <f t="shared" si="74"/>
        <v>-0.533300076169633</v>
      </c>
      <c r="BS54" s="363">
        <v>5.3617</v>
      </c>
      <c r="BT54" s="361">
        <f t="shared" si="75"/>
        <v>-0.704257126467214</v>
      </c>
      <c r="BU54" s="108">
        <f t="shared" si="99"/>
        <v>139.6462</v>
      </c>
      <c r="BV54" s="361">
        <f t="shared" si="100"/>
        <v>-0.373396092649263</v>
      </c>
      <c r="BW54" s="364"/>
      <c r="BX54" s="450">
        <v>15.8275</v>
      </c>
      <c r="BY54" s="361">
        <f t="shared" si="101"/>
        <v>-0.50140812237749</v>
      </c>
      <c r="BZ54" s="450">
        <v>16.2449</v>
      </c>
      <c r="CA54" s="361">
        <f t="shared" si="102"/>
        <v>-0.491938838379574</v>
      </c>
      <c r="CB54" s="108">
        <v>16.5493</v>
      </c>
      <c r="CC54" s="361">
        <f t="shared" si="103"/>
        <v>-0.360640854266309</v>
      </c>
      <c r="CD54" s="108">
        <v>16.5841</v>
      </c>
      <c r="CE54" s="361">
        <v>-0.262689672649349</v>
      </c>
      <c r="CF54" s="363">
        <v>17.7122</v>
      </c>
      <c r="CG54" s="361">
        <f t="shared" si="104"/>
        <v>-0.291758468053118</v>
      </c>
      <c r="CH54" s="363">
        <v>19.6798</v>
      </c>
      <c r="CI54" s="361">
        <f t="shared" si="105"/>
        <v>-0.185300485595651</v>
      </c>
      <c r="CJ54" s="363">
        <v>21.0585</v>
      </c>
      <c r="CK54" s="361">
        <f t="shared" si="106"/>
        <v>-0.105594889720404</v>
      </c>
      <c r="CL54" s="108">
        <v>21.735</v>
      </c>
      <c r="CM54" s="361">
        <f t="shared" si="107"/>
        <v>-0.0376355988487935</v>
      </c>
      <c r="CN54" s="108">
        <v>21.754</v>
      </c>
      <c r="CO54" s="361">
        <f t="shared" si="108"/>
        <v>-0.110382281255623</v>
      </c>
      <c r="CP54" s="108">
        <v>18.9445</v>
      </c>
      <c r="CQ54" s="361">
        <f t="shared" si="109"/>
        <v>-0.207124143068797</v>
      </c>
      <c r="CR54" s="108">
        <v>18.6426</v>
      </c>
      <c r="CS54" s="361">
        <f t="shared" si="110"/>
        <v>-0.0643942245441815</v>
      </c>
      <c r="CT54" s="108">
        <v>18.1296</v>
      </c>
      <c r="CU54" s="361">
        <f t="shared" si="111"/>
        <v>0.11356391309956</v>
      </c>
      <c r="CV54" s="108">
        <f t="shared" si="112"/>
        <v>222.862</v>
      </c>
      <c r="CW54" s="361">
        <f t="shared" si="113"/>
        <v>-0.236624696130648</v>
      </c>
      <c r="CX54" s="365">
        <f t="shared" si="114"/>
        <v>-0.0275176209327026</v>
      </c>
      <c r="CY54" s="365"/>
      <c r="CZ54" s="453">
        <v>31.7444</v>
      </c>
      <c r="DA54" s="450">
        <v>31.9743</v>
      </c>
      <c r="DB54" s="450">
        <v>25.8842</v>
      </c>
      <c r="DC54" s="450">
        <v>22.4927</v>
      </c>
      <c r="DD54" s="108">
        <v>25.0087</v>
      </c>
      <c r="DE54" s="108">
        <v>24.1559</v>
      </c>
      <c r="DF54" s="108">
        <v>23.5447</v>
      </c>
      <c r="DG54" s="108">
        <v>22.585</v>
      </c>
      <c r="DH54" s="108">
        <v>24.4532</v>
      </c>
      <c r="DI54" s="108">
        <v>23.8934</v>
      </c>
      <c r="DJ54" s="108">
        <v>19.9257</v>
      </c>
      <c r="DK54" s="108">
        <v>16.2807</v>
      </c>
      <c r="DL54" s="108">
        <v>291.9429</v>
      </c>
      <c r="DM54" s="368">
        <v>-0.314822972658671</v>
      </c>
      <c r="DN54" s="369"/>
      <c r="DO54" s="370">
        <v>40.2019</v>
      </c>
      <c r="DP54" s="371">
        <f t="shared" si="128"/>
        <v>0.11798338677338</v>
      </c>
      <c r="DQ54" s="374">
        <v>43.3684</v>
      </c>
      <c r="DR54" s="373"/>
      <c r="DS54" s="374">
        <v>40.1391</v>
      </c>
      <c r="DT54" s="373">
        <f t="shared" si="115"/>
        <v>56.3415714285714</v>
      </c>
      <c r="DU54" s="374"/>
      <c r="DV54" s="374">
        <v>37.9314</v>
      </c>
      <c r="DW54" s="373">
        <f t="shared" si="116"/>
        <v>0.149436363636364</v>
      </c>
      <c r="DX54" s="374">
        <v>35.9593</v>
      </c>
      <c r="DY54" s="373">
        <f t="shared" si="117"/>
        <v>-0.122943902439024</v>
      </c>
      <c r="DZ54" s="374">
        <v>30.3841</v>
      </c>
      <c r="EA54" s="373">
        <f t="shared" si="118"/>
        <v>-0.220920512820513</v>
      </c>
      <c r="EB54" s="374">
        <v>32.6982</v>
      </c>
      <c r="EC54" s="373">
        <f t="shared" si="119"/>
        <v>-0.0917166666666667</v>
      </c>
      <c r="ED54" s="374">
        <v>33.8099</v>
      </c>
      <c r="EE54" s="373">
        <f t="shared" si="120"/>
        <v>-0.1547525</v>
      </c>
      <c r="EF54" s="374">
        <v>34.4339</v>
      </c>
      <c r="EG54" s="373">
        <f t="shared" si="121"/>
        <v>-0.117079487179487</v>
      </c>
      <c r="EH54" s="374">
        <v>35.5022</v>
      </c>
      <c r="EI54" s="373">
        <f t="shared" si="122"/>
        <v>-0.116198944981192</v>
      </c>
      <c r="EJ54" s="374">
        <v>31.218</v>
      </c>
      <c r="EK54" s="373">
        <f t="shared" si="123"/>
        <v>-0.264252197132709</v>
      </c>
      <c r="EL54" s="374">
        <v>30.4375</v>
      </c>
      <c r="EM54" s="373">
        <f t="shared" si="124"/>
        <v>-0.275454603883444</v>
      </c>
      <c r="EN54" s="372">
        <f t="shared" si="127"/>
        <v>426.0839</v>
      </c>
      <c r="EO54" s="373">
        <v>-0.221493404186627</v>
      </c>
      <c r="EP54" s="375">
        <v>194</v>
      </c>
      <c r="EQ54" s="373">
        <v>-0.00512820512820513</v>
      </c>
      <c r="ER54" s="374">
        <v>0</v>
      </c>
      <c r="ES54" s="373">
        <f t="shared" si="130"/>
        <v>-1</v>
      </c>
      <c r="ET54" s="374">
        <v>0.7</v>
      </c>
      <c r="EU54" s="373">
        <f t="shared" si="131"/>
        <v>-0.996517412935323</v>
      </c>
      <c r="EV54" s="374">
        <v>33</v>
      </c>
      <c r="EW54" s="373">
        <f t="shared" si="132"/>
        <v>-0.796296296296296</v>
      </c>
      <c r="EX54" s="374">
        <v>41</v>
      </c>
      <c r="EY54" s="373">
        <f t="shared" si="133"/>
        <v>-0.746913580246914</v>
      </c>
      <c r="EZ54" s="374">
        <v>39</v>
      </c>
      <c r="FA54" s="373">
        <f t="shared" si="134"/>
        <v>-0.763636363636364</v>
      </c>
      <c r="FB54" s="374">
        <v>36</v>
      </c>
      <c r="FC54" s="373">
        <f t="shared" si="135"/>
        <v>-0.77639751552795</v>
      </c>
      <c r="FD54" s="374">
        <v>40</v>
      </c>
      <c r="FE54" s="373">
        <f t="shared" si="136"/>
        <v>-0.746835443037975</v>
      </c>
      <c r="FF54" s="374">
        <v>39</v>
      </c>
      <c r="FG54" s="373">
        <f t="shared" si="137"/>
        <v>-0.760736196319018</v>
      </c>
      <c r="FH54" s="374">
        <v>40.1699</v>
      </c>
      <c r="FI54" s="373">
        <f t="shared" si="138"/>
        <v>-0.755061585365854</v>
      </c>
      <c r="FJ54" s="374">
        <v>42.4303</v>
      </c>
      <c r="FK54" s="373">
        <f t="shared" si="139"/>
        <v>-0.70737724137931</v>
      </c>
      <c r="FL54" s="374">
        <v>42.0091</v>
      </c>
      <c r="FM54" s="373">
        <f t="shared" si="140"/>
        <v>-0.752887647058824</v>
      </c>
      <c r="FN54" s="374">
        <v>547.3093</v>
      </c>
      <c r="FO54" s="373">
        <f t="shared" si="142"/>
        <v>-0.740734580767409</v>
      </c>
      <c r="FP54" s="375">
        <v>195</v>
      </c>
      <c r="FQ54" s="375">
        <v>265</v>
      </c>
      <c r="FR54" s="375">
        <v>201</v>
      </c>
      <c r="FS54" s="375">
        <v>162</v>
      </c>
      <c r="FT54" s="375">
        <v>162</v>
      </c>
      <c r="FU54" s="375">
        <v>165</v>
      </c>
      <c r="FV54" s="484">
        <v>161</v>
      </c>
      <c r="FW54" s="484">
        <v>158</v>
      </c>
      <c r="FX54" s="484">
        <v>163</v>
      </c>
      <c r="FY54" s="484">
        <v>164</v>
      </c>
      <c r="FZ54" s="376">
        <f t="shared" si="143"/>
        <v>-0.0409356725146199</v>
      </c>
      <c r="GA54" s="484">
        <v>145</v>
      </c>
      <c r="GB54" s="376">
        <f t="shared" si="144"/>
        <v>-0.0645161290322581</v>
      </c>
      <c r="GC54" s="484">
        <v>170</v>
      </c>
      <c r="GD54" s="376">
        <f t="shared" si="145"/>
        <v>-0.0659340659340659</v>
      </c>
      <c r="GE54" s="375">
        <f t="shared" si="146"/>
        <v>2111</v>
      </c>
      <c r="GF54" s="377">
        <f t="shared" si="147"/>
        <v>-0.0523858688333258</v>
      </c>
      <c r="GG54" s="317"/>
      <c r="GH54" s="378"/>
      <c r="GI54" s="379">
        <v>199.5</v>
      </c>
      <c r="GJ54" s="376">
        <f t="shared" si="148"/>
        <v>0.00251256281407035</v>
      </c>
      <c r="GK54" s="375">
        <v>273</v>
      </c>
      <c r="GL54" s="376">
        <f t="shared" si="149"/>
        <v>0.00367647058823529</v>
      </c>
      <c r="GM54" s="375">
        <v>216.2</v>
      </c>
      <c r="GN54" s="376">
        <f t="shared" si="150"/>
        <v>0.000925925925925873</v>
      </c>
      <c r="GO54" s="375">
        <v>172</v>
      </c>
      <c r="GP54" s="376">
        <f t="shared" si="151"/>
        <v>0</v>
      </c>
      <c r="GQ54" s="375">
        <v>172</v>
      </c>
      <c r="GR54" s="376">
        <f t="shared" si="152"/>
        <v>0</v>
      </c>
      <c r="GS54" s="375">
        <v>177</v>
      </c>
      <c r="GT54" s="376">
        <f t="shared" si="153"/>
        <v>-0.0220994475138122</v>
      </c>
      <c r="GU54" s="375">
        <v>173</v>
      </c>
      <c r="GV54" s="376">
        <f t="shared" si="154"/>
        <v>-0.0225988700564972</v>
      </c>
      <c r="GW54" s="375">
        <v>169</v>
      </c>
      <c r="GX54" s="376">
        <f t="shared" si="155"/>
        <v>-0.023121387283237</v>
      </c>
      <c r="GY54" s="375">
        <v>168</v>
      </c>
      <c r="GZ54" s="376">
        <f t="shared" si="156"/>
        <v>-0.0232558139534884</v>
      </c>
      <c r="HA54" s="375">
        <v>171</v>
      </c>
      <c r="HB54" s="376">
        <f t="shared" si="157"/>
        <v>-0.0393258426966292</v>
      </c>
      <c r="HC54" s="375">
        <v>155</v>
      </c>
      <c r="HD54" s="376">
        <f t="shared" si="158"/>
        <v>-0.0372670807453416</v>
      </c>
      <c r="HE54" s="375">
        <v>182</v>
      </c>
      <c r="HF54" s="376">
        <f t="shared" si="159"/>
        <v>-0.037037037037037</v>
      </c>
      <c r="HG54" s="375">
        <f t="shared" si="160"/>
        <v>2227.7</v>
      </c>
      <c r="HH54" s="375">
        <f t="shared" si="161"/>
        <v>2227.7</v>
      </c>
      <c r="HI54" s="377"/>
      <c r="HJ54" s="369"/>
      <c r="HK54" s="485"/>
      <c r="HL54" s="379">
        <v>199</v>
      </c>
      <c r="HM54" s="380">
        <f t="shared" si="162"/>
        <v>0.0205128205128205</v>
      </c>
      <c r="HN54" s="462">
        <v>272</v>
      </c>
      <c r="HO54" s="380">
        <f t="shared" si="163"/>
        <v>0.0149253731343284</v>
      </c>
      <c r="HP54" s="462">
        <v>216</v>
      </c>
      <c r="HQ54" s="466">
        <f t="shared" si="164"/>
        <v>0.00934579439252336</v>
      </c>
      <c r="HR54" s="464">
        <v>172</v>
      </c>
      <c r="HS54" s="465">
        <f t="shared" si="165"/>
        <v>0.0117647058823529</v>
      </c>
      <c r="HT54" s="464">
        <v>172</v>
      </c>
      <c r="HU54" s="465">
        <f t="shared" si="166"/>
        <v>0.00584795321637427</v>
      </c>
      <c r="HV54" s="466"/>
      <c r="HW54" s="464">
        <v>181</v>
      </c>
      <c r="HX54" s="465">
        <f t="shared" si="167"/>
        <v>0.00555555555555556</v>
      </c>
      <c r="HY54" s="464">
        <v>177</v>
      </c>
      <c r="HZ54" s="465">
        <f t="shared" si="168"/>
        <v>0.00568181818181818</v>
      </c>
      <c r="IA54" s="464">
        <v>173</v>
      </c>
      <c r="IB54" s="390">
        <f t="shared" si="169"/>
        <v>0.00581395348837209</v>
      </c>
      <c r="IC54" s="464">
        <v>172</v>
      </c>
      <c r="ID54" s="390">
        <f t="shared" si="170"/>
        <v>0.00584795321637427</v>
      </c>
      <c r="IE54" s="464">
        <v>178</v>
      </c>
      <c r="IF54" s="377">
        <f t="shared" si="171"/>
        <v>0.00564971751412429</v>
      </c>
      <c r="IG54" s="464">
        <v>161</v>
      </c>
      <c r="IH54" s="390">
        <f t="shared" si="172"/>
        <v>0.0125786163522013</v>
      </c>
      <c r="II54" s="559">
        <v>189</v>
      </c>
      <c r="IJ54" s="309">
        <f t="shared" si="173"/>
        <v>0.0106951871657754</v>
      </c>
      <c r="IK54" s="391">
        <f t="shared" si="174"/>
        <v>2262</v>
      </c>
      <c r="IL54" s="104">
        <f t="shared" si="175"/>
        <v>0.00982142857142865</v>
      </c>
      <c r="IM54" s="392"/>
      <c r="IN54" s="467">
        <v>195</v>
      </c>
      <c r="IO54" s="413">
        <f t="shared" si="176"/>
        <v>0.033395000942805</v>
      </c>
      <c r="IP54" s="414">
        <v>268</v>
      </c>
      <c r="IQ54" s="413">
        <f t="shared" si="177"/>
        <v>0.0346757674699485</v>
      </c>
      <c r="IR54" s="414">
        <v>214</v>
      </c>
      <c r="IS54" s="394">
        <f t="shared" si="178"/>
        <v>0.0284454813228561</v>
      </c>
      <c r="IT54" s="513">
        <v>170</v>
      </c>
      <c r="IU54" s="413">
        <f t="shared" si="179"/>
        <v>0.0302736188097547</v>
      </c>
      <c r="IV54" s="513">
        <v>171</v>
      </c>
      <c r="IW54" s="413">
        <f t="shared" si="180"/>
        <v>0.0373517628646295</v>
      </c>
      <c r="IX54" s="513">
        <v>180</v>
      </c>
      <c r="IY54" s="413">
        <f t="shared" si="181"/>
        <v>0.0295345617615634</v>
      </c>
      <c r="IZ54" s="513">
        <v>176</v>
      </c>
      <c r="JA54" s="413">
        <f t="shared" si="182"/>
        <v>0.00915594172697298</v>
      </c>
      <c r="JB54" s="414">
        <v>172</v>
      </c>
      <c r="JC54" s="413">
        <f t="shared" si="183"/>
        <v>0.0200121716376265</v>
      </c>
      <c r="JD54" s="414">
        <v>171</v>
      </c>
      <c r="JE54" s="469">
        <f t="shared" si="184"/>
        <v>0.00928525647177859</v>
      </c>
      <c r="JF54" s="414">
        <v>177</v>
      </c>
      <c r="JG54" s="471">
        <f t="shared" si="185"/>
        <v>0.010848078729971</v>
      </c>
      <c r="JH54" s="375">
        <v>159</v>
      </c>
      <c r="JI54" s="380">
        <f t="shared" si="186"/>
        <v>0.0143336950141442</v>
      </c>
      <c r="JJ54" s="472">
        <v>187</v>
      </c>
      <c r="JK54" s="377">
        <f t="shared" si="187"/>
        <v>0.00719534519312017</v>
      </c>
      <c r="JL54" s="399">
        <f t="shared" si="126"/>
        <v>2240</v>
      </c>
      <c r="JM54" s="398">
        <f t="shared" si="188"/>
        <v>0.022618687744181</v>
      </c>
      <c r="JN54" s="400"/>
      <c r="JO54" s="383">
        <v>2190.45478715167</v>
      </c>
      <c r="JP54" s="374">
        <v>188.698416212672</v>
      </c>
      <c r="JQ54" s="374">
        <v>259.018340262602</v>
      </c>
      <c r="JR54" s="374">
        <v>208.081034810653</v>
      </c>
      <c r="JS54" s="374">
        <v>165.004710298606</v>
      </c>
      <c r="JT54" s="374">
        <v>164.842829714567</v>
      </c>
      <c r="JU54" s="374">
        <v>174.83628688678</v>
      </c>
      <c r="JV54" s="374">
        <v>174.403174695489</v>
      </c>
      <c r="JW54" s="374">
        <v>168.62543877673</v>
      </c>
      <c r="JX54" s="374">
        <v>169.426828444691</v>
      </c>
      <c r="JY54" s="374">
        <v>175.100496033373</v>
      </c>
      <c r="JZ54" s="374">
        <v>156.75314818146</v>
      </c>
      <c r="KA54" s="374">
        <v>185.664082834045</v>
      </c>
    </row>
    <row r="55" s="285" customFormat="1" ht="28.8" hidden="1" customHeight="1" spans="1:287">
      <c r="A55" s="28"/>
      <c r="B55" s="141" t="s">
        <v>209</v>
      </c>
      <c r="C55" s="163">
        <v>524.6797</v>
      </c>
      <c r="D55" s="359">
        <f t="shared" si="76"/>
        <v>-0.434860554228612</v>
      </c>
      <c r="E55" s="163">
        <v>1354.6626</v>
      </c>
      <c r="F55" s="359">
        <f t="shared" si="77"/>
        <v>0.193998307185015</v>
      </c>
      <c r="G55" s="163">
        <v>1233.6733</v>
      </c>
      <c r="H55" s="359">
        <f t="shared" si="78"/>
        <v>0.865993027142717</v>
      </c>
      <c r="I55" s="163">
        <v>2058.7247</v>
      </c>
      <c r="J55" s="359">
        <f t="shared" si="79"/>
        <v>1.63039569942426</v>
      </c>
      <c r="K55" s="163">
        <v>1725.1329</v>
      </c>
      <c r="L55" s="359">
        <f t="shared" si="80"/>
        <v>1.89992011965914</v>
      </c>
      <c r="M55" s="163">
        <v>2213.7637</v>
      </c>
      <c r="N55" s="359">
        <f t="shared" si="81"/>
        <v>3.43518874503818</v>
      </c>
      <c r="O55" s="163">
        <v>1713.2135</v>
      </c>
      <c r="P55" s="359">
        <f t="shared" si="82"/>
        <v>0.752364297423752</v>
      </c>
      <c r="Q55" s="127"/>
      <c r="R55" s="127"/>
      <c r="S55" s="109">
        <f t="shared" si="95"/>
        <v>10823.8504</v>
      </c>
      <c r="T55" s="359">
        <f t="shared" si="96"/>
        <v>0.647211536995309</v>
      </c>
      <c r="U55" s="359"/>
      <c r="V55" s="163">
        <v>928.4075</v>
      </c>
      <c r="W55" s="474">
        <f t="shared" si="83"/>
        <v>-0.0713066481863117</v>
      </c>
      <c r="X55" s="473">
        <v>1134.5599</v>
      </c>
      <c r="Y55" s="475">
        <f t="shared" si="84"/>
        <v>-0.0409242111458081</v>
      </c>
      <c r="Z55" s="473">
        <v>661.135</v>
      </c>
      <c r="AA55" s="475">
        <f t="shared" si="85"/>
        <v>-0.310430102580999</v>
      </c>
      <c r="AB55" s="473">
        <v>782.6673</v>
      </c>
      <c r="AC55" s="475">
        <f t="shared" si="86"/>
        <v>0.00708760921669715</v>
      </c>
      <c r="AD55" s="473">
        <v>594.8898</v>
      </c>
      <c r="AE55" s="475">
        <f t="shared" si="87"/>
        <v>-0.356617843481007</v>
      </c>
      <c r="AF55" s="473">
        <v>499.1363</v>
      </c>
      <c r="AG55" s="475">
        <f t="shared" si="88"/>
        <v>-0.327780846904906</v>
      </c>
      <c r="AH55" s="473">
        <v>977.6583</v>
      </c>
      <c r="AI55" s="475">
        <f t="shared" si="89"/>
        <v>0.457234665628856</v>
      </c>
      <c r="AJ55" s="473">
        <v>992.5601</v>
      </c>
      <c r="AK55" s="475">
        <f t="shared" si="90"/>
        <v>0.230806746520624</v>
      </c>
      <c r="AL55" s="473">
        <v>754.3291</v>
      </c>
      <c r="AM55" s="475">
        <f t="shared" si="91"/>
        <v>0.016229952528817</v>
      </c>
      <c r="AN55" s="473">
        <v>935.997</v>
      </c>
      <c r="AO55" s="475">
        <f t="shared" si="92"/>
        <v>0.222328407264415</v>
      </c>
      <c r="AP55" s="473">
        <v>601.1448</v>
      </c>
      <c r="AQ55" s="475">
        <f t="shared" si="93"/>
        <v>-0.184615543208222</v>
      </c>
      <c r="AR55" s="473">
        <v>420.0929</v>
      </c>
      <c r="AS55" s="475">
        <f t="shared" si="94"/>
        <v>0.0282324456509635</v>
      </c>
      <c r="AT55" s="107">
        <f t="shared" si="97"/>
        <v>9282.578</v>
      </c>
      <c r="AU55" s="359">
        <f t="shared" si="98"/>
        <v>-0.0446985423771099</v>
      </c>
      <c r="AV55" s="360"/>
      <c r="AW55" s="473">
        <v>999.6922</v>
      </c>
      <c r="AX55" s="474">
        <v>0.266144449248831</v>
      </c>
      <c r="AY55" s="448">
        <v>1182.9721</v>
      </c>
      <c r="AZ55" s="475">
        <f t="shared" si="65"/>
        <v>0.450817891814999</v>
      </c>
      <c r="BA55" s="448">
        <v>958.7643</v>
      </c>
      <c r="BB55" s="475">
        <f t="shared" si="66"/>
        <v>0.286370087481253</v>
      </c>
      <c r="BC55" s="448">
        <v>777.1591</v>
      </c>
      <c r="BD55" s="475">
        <f t="shared" si="67"/>
        <v>0.0412248675054692</v>
      </c>
      <c r="BE55" s="476">
        <v>924.629</v>
      </c>
      <c r="BF55" s="475">
        <f t="shared" si="68"/>
        <v>0.151394399985555</v>
      </c>
      <c r="BG55" s="163">
        <v>742.5202</v>
      </c>
      <c r="BH55" s="475">
        <f t="shared" si="69"/>
        <v>-0.157042606732532</v>
      </c>
      <c r="BI55" s="163">
        <v>670.8997</v>
      </c>
      <c r="BJ55" s="475">
        <f t="shared" si="70"/>
        <v>-0.316560901133548</v>
      </c>
      <c r="BK55" s="163">
        <v>806.4305</v>
      </c>
      <c r="BL55" s="475">
        <f t="shared" si="71"/>
        <v>-0.199386676348321</v>
      </c>
      <c r="BM55" s="163">
        <v>742.2819</v>
      </c>
      <c r="BN55" s="475">
        <f t="shared" si="72"/>
        <v>-0.284442111998964</v>
      </c>
      <c r="BO55" s="163">
        <v>765.7492</v>
      </c>
      <c r="BP55" s="475">
        <f t="shared" si="73"/>
        <v>-0.159289799778467</v>
      </c>
      <c r="BQ55" s="163">
        <v>737.2532</v>
      </c>
      <c r="BR55" s="475">
        <f t="shared" si="74"/>
        <v>-0.213913201466801</v>
      </c>
      <c r="BS55" s="163">
        <v>408.5583</v>
      </c>
      <c r="BT55" s="475">
        <f t="shared" si="75"/>
        <v>-0.600011767864097</v>
      </c>
      <c r="BU55" s="109">
        <f t="shared" si="99"/>
        <v>9716.9097</v>
      </c>
      <c r="BV55" s="359">
        <f t="shared" si="100"/>
        <v>-0.0899180897127316</v>
      </c>
      <c r="BW55" s="429"/>
      <c r="BX55" s="473">
        <v>789.5562</v>
      </c>
      <c r="BY55" s="475">
        <f t="shared" si="101"/>
        <v>-0.503284037075336</v>
      </c>
      <c r="BZ55" s="473">
        <v>815.3829</v>
      </c>
      <c r="CA55" s="475">
        <f t="shared" si="102"/>
        <v>-0.519668610339276</v>
      </c>
      <c r="CB55" s="448">
        <v>745.3254</v>
      </c>
      <c r="CC55" s="359">
        <f t="shared" si="103"/>
        <v>-0.373600598055312</v>
      </c>
      <c r="CD55" s="109">
        <v>746.3893</v>
      </c>
      <c r="CE55" s="359">
        <v>-0.281430270780672</v>
      </c>
      <c r="CF55" s="163">
        <v>803.0515</v>
      </c>
      <c r="CG55" s="359">
        <f t="shared" si="104"/>
        <v>-0.272324807574876</v>
      </c>
      <c r="CH55" s="163">
        <v>880.8514</v>
      </c>
      <c r="CI55" s="359">
        <f t="shared" si="105"/>
        <v>-0.165636734620806</v>
      </c>
      <c r="CJ55" s="163">
        <v>981.6525</v>
      </c>
      <c r="CK55" s="359">
        <f t="shared" si="106"/>
        <v>-0.0474451917282763</v>
      </c>
      <c r="CL55" s="109">
        <v>1007.2659</v>
      </c>
      <c r="CM55" s="359">
        <f t="shared" si="107"/>
        <v>0.0293315781067158</v>
      </c>
      <c r="CN55" s="109">
        <v>1037.3471</v>
      </c>
      <c r="CO55" s="359">
        <f t="shared" si="108"/>
        <v>-0.0403849793626923</v>
      </c>
      <c r="CP55" s="109">
        <v>910.8361</v>
      </c>
      <c r="CQ55" s="359">
        <f t="shared" si="109"/>
        <v>-0.1191146195549</v>
      </c>
      <c r="CR55" s="109">
        <v>937.8776</v>
      </c>
      <c r="CS55" s="359">
        <f t="shared" si="110"/>
        <v>0.106093779981501</v>
      </c>
      <c r="CT55" s="109">
        <v>1021.4258</v>
      </c>
      <c r="CU55" s="359">
        <f t="shared" si="111"/>
        <v>0.399799231048062</v>
      </c>
      <c r="CV55" s="109">
        <f t="shared" si="112"/>
        <v>10676.9617</v>
      </c>
      <c r="CW55" s="359">
        <f t="shared" si="113"/>
        <v>-0.201823713391951</v>
      </c>
      <c r="CX55" s="408">
        <f t="shared" si="114"/>
        <v>0.0890822000653391</v>
      </c>
      <c r="CY55" s="408"/>
      <c r="CZ55" s="477">
        <v>1589.5527</v>
      </c>
      <c r="DA55" s="473">
        <v>1697.5424</v>
      </c>
      <c r="DB55" s="473">
        <v>1189.8565</v>
      </c>
      <c r="DC55" s="473">
        <v>1038.7152</v>
      </c>
      <c r="DD55" s="448">
        <v>1103.5851</v>
      </c>
      <c r="DE55" s="448">
        <v>1055.7169</v>
      </c>
      <c r="DF55" s="448">
        <v>1030.547</v>
      </c>
      <c r="DG55" s="448">
        <v>978.5631</v>
      </c>
      <c r="DH55" s="448">
        <v>1081.0034</v>
      </c>
      <c r="DI55" s="448">
        <v>1034.0007</v>
      </c>
      <c r="DJ55" s="448">
        <v>847.9187</v>
      </c>
      <c r="DK55" s="448">
        <v>729.6945</v>
      </c>
      <c r="DL55" s="448">
        <v>13376.6962</v>
      </c>
      <c r="DM55" s="449">
        <v>-0.336901818145766</v>
      </c>
      <c r="DN55" s="411"/>
      <c r="DO55" s="412">
        <v>1916.7306</v>
      </c>
      <c r="DP55" s="87">
        <f t="shared" si="128"/>
        <v>0.0660444808259386</v>
      </c>
      <c r="DQ55" s="103">
        <v>1957.7134</v>
      </c>
      <c r="DR55" s="104"/>
      <c r="DS55" s="103">
        <v>1901.5511</v>
      </c>
      <c r="DT55" s="104">
        <f t="shared" si="115"/>
        <v>4.35648197183099</v>
      </c>
      <c r="DU55" s="103"/>
      <c r="DV55" s="103">
        <v>1796.9656</v>
      </c>
      <c r="DW55" s="104">
        <f t="shared" si="116"/>
        <v>0.265468732394366</v>
      </c>
      <c r="DX55" s="103">
        <v>1797.9837</v>
      </c>
      <c r="DY55" s="104">
        <f t="shared" si="117"/>
        <v>-0.00663883977900553</v>
      </c>
      <c r="DZ55" s="103">
        <v>1367.7762</v>
      </c>
      <c r="EA55" s="104">
        <f t="shared" si="118"/>
        <v>-0.200130877192982</v>
      </c>
      <c r="EB55" s="103">
        <v>1497.037</v>
      </c>
      <c r="EC55" s="104">
        <f t="shared" si="119"/>
        <v>-0.0927048484848485</v>
      </c>
      <c r="ED55" s="103">
        <v>1682.8486</v>
      </c>
      <c r="EE55" s="104">
        <f t="shared" si="120"/>
        <v>-0.0383722285714286</v>
      </c>
      <c r="EF55" s="103">
        <v>1688.1874</v>
      </c>
      <c r="EG55" s="104">
        <f t="shared" si="121"/>
        <v>-0.0184956976744186</v>
      </c>
      <c r="EH55" s="103">
        <v>1722.4508</v>
      </c>
      <c r="EI55" s="104">
        <f t="shared" si="122"/>
        <v>-0.0394856023840844</v>
      </c>
      <c r="EJ55" s="103">
        <v>1430.8218</v>
      </c>
      <c r="EK55" s="104">
        <f t="shared" si="123"/>
        <v>-0.25310005994214</v>
      </c>
      <c r="EL55" s="103">
        <v>1412.9588</v>
      </c>
      <c r="EM55" s="104">
        <f t="shared" si="124"/>
        <v>-0.270368103054086</v>
      </c>
      <c r="EN55" s="93">
        <f t="shared" si="127"/>
        <v>20173.025</v>
      </c>
      <c r="EO55" s="104">
        <v>-0.135706354642066</v>
      </c>
      <c r="EP55" s="478">
        <v>7280</v>
      </c>
      <c r="EQ55" s="104">
        <v>-0.00137174211248285</v>
      </c>
      <c r="ER55" s="103">
        <v>0</v>
      </c>
      <c r="ES55" s="104">
        <f t="shared" si="130"/>
        <v>-1</v>
      </c>
      <c r="ET55" s="103">
        <v>355</v>
      </c>
      <c r="EU55" s="104">
        <f t="shared" si="131"/>
        <v>-0.956441717791411</v>
      </c>
      <c r="EV55" s="103">
        <v>1420</v>
      </c>
      <c r="EW55" s="104">
        <f t="shared" si="132"/>
        <v>-0.79129923574368</v>
      </c>
      <c r="EX55" s="103">
        <v>1810</v>
      </c>
      <c r="EY55" s="104">
        <f t="shared" si="133"/>
        <v>-0.772898368883312</v>
      </c>
      <c r="EZ55" s="103">
        <v>1710</v>
      </c>
      <c r="FA55" s="104">
        <f t="shared" si="134"/>
        <v>-0.759831460674157</v>
      </c>
      <c r="FB55" s="103">
        <v>1650</v>
      </c>
      <c r="FC55" s="104">
        <f t="shared" si="135"/>
        <v>-0.772099447513812</v>
      </c>
      <c r="FD55" s="103">
        <v>1750</v>
      </c>
      <c r="FE55" s="104">
        <f t="shared" si="136"/>
        <v>-0.753867791842475</v>
      </c>
      <c r="FF55" s="103">
        <v>1720</v>
      </c>
      <c r="FG55" s="104">
        <f t="shared" si="137"/>
        <v>-0.787654320987654</v>
      </c>
      <c r="FH55" s="103">
        <v>1793.2587</v>
      </c>
      <c r="FI55" s="104">
        <f t="shared" si="138"/>
        <v>-0.750242520891365</v>
      </c>
      <c r="FJ55" s="103">
        <v>1915.6807</v>
      </c>
      <c r="FK55" s="104">
        <f t="shared" si="139"/>
        <v>-0.691268219178082</v>
      </c>
      <c r="FL55" s="103">
        <v>1936.5365</v>
      </c>
      <c r="FM55" s="104">
        <f t="shared" si="140"/>
        <v>-0.756410503144654</v>
      </c>
      <c r="FN55" s="103">
        <v>23340.4759</v>
      </c>
      <c r="FO55" s="104">
        <f t="shared" si="142"/>
        <v>-0.74454710131445</v>
      </c>
      <c r="FP55" s="478">
        <v>7290</v>
      </c>
      <c r="FQ55" s="478">
        <v>10250</v>
      </c>
      <c r="FR55" s="478">
        <v>8150</v>
      </c>
      <c r="FS55" s="478">
        <v>6804</v>
      </c>
      <c r="FT55" s="478">
        <v>7970</v>
      </c>
      <c r="FU55" s="478">
        <v>7120</v>
      </c>
      <c r="FV55" s="480">
        <v>7240</v>
      </c>
      <c r="FW55" s="480">
        <v>7110</v>
      </c>
      <c r="FX55" s="480">
        <v>8100</v>
      </c>
      <c r="FY55" s="480">
        <v>7180</v>
      </c>
      <c r="FZ55" s="413">
        <f t="shared" si="143"/>
        <v>-0.0459739569492426</v>
      </c>
      <c r="GA55" s="480">
        <v>6205</v>
      </c>
      <c r="GB55" s="413">
        <f t="shared" si="144"/>
        <v>-0.0669172932330827</v>
      </c>
      <c r="GC55" s="480">
        <v>7950</v>
      </c>
      <c r="GD55" s="413">
        <f t="shared" si="145"/>
        <v>-0.253521126760563</v>
      </c>
      <c r="GE55" s="414">
        <f t="shared" si="146"/>
        <v>91369</v>
      </c>
      <c r="GF55" s="481">
        <f t="shared" si="147"/>
        <v>-0.0753061431029248</v>
      </c>
      <c r="GG55" s="415"/>
      <c r="GH55" s="392"/>
      <c r="GI55" s="417">
        <v>7461</v>
      </c>
      <c r="GJ55" s="104">
        <f t="shared" si="148"/>
        <v>0.00988088792636708</v>
      </c>
      <c r="GK55" s="103">
        <v>10495</v>
      </c>
      <c r="GL55" s="104">
        <f t="shared" si="149"/>
        <v>0.00401798526738735</v>
      </c>
      <c r="GM55" s="103">
        <v>8640</v>
      </c>
      <c r="GN55" s="104">
        <f t="shared" si="150"/>
        <v>0.000115754138210441</v>
      </c>
      <c r="GO55" s="103">
        <v>7375</v>
      </c>
      <c r="GP55" s="104">
        <f t="shared" si="151"/>
        <v>0.00203804347826087</v>
      </c>
      <c r="GQ55" s="103">
        <v>8523</v>
      </c>
      <c r="GR55" s="104">
        <f t="shared" si="152"/>
        <v>0.00188080404372869</v>
      </c>
      <c r="GS55" s="103">
        <v>7495</v>
      </c>
      <c r="GT55" s="104">
        <f t="shared" si="153"/>
        <v>-0.0366323907455013</v>
      </c>
      <c r="GU55" s="103">
        <v>7895</v>
      </c>
      <c r="GV55" s="104">
        <f t="shared" si="154"/>
        <v>-0.0305746561886051</v>
      </c>
      <c r="GW55" s="103">
        <v>7750</v>
      </c>
      <c r="GX55" s="104">
        <f t="shared" si="155"/>
        <v>-0.0256474729695751</v>
      </c>
      <c r="GY55" s="103">
        <v>8350</v>
      </c>
      <c r="GZ55" s="104">
        <f t="shared" si="156"/>
        <v>-0.0260118978187332</v>
      </c>
      <c r="HA55" s="103">
        <v>7526</v>
      </c>
      <c r="HB55" s="104">
        <f t="shared" si="157"/>
        <v>-0.0394384173580089</v>
      </c>
      <c r="HC55" s="103">
        <v>6650</v>
      </c>
      <c r="HD55" s="104">
        <f t="shared" si="158"/>
        <v>-0.0369297610427227</v>
      </c>
      <c r="HE55" s="103">
        <v>10650</v>
      </c>
      <c r="HF55" s="104">
        <f t="shared" si="159"/>
        <v>-0.0418353576248313</v>
      </c>
      <c r="HG55" s="414">
        <f t="shared" si="160"/>
        <v>98810</v>
      </c>
      <c r="HH55" s="103">
        <f t="shared" si="161"/>
        <v>98810</v>
      </c>
      <c r="HI55" s="394"/>
      <c r="HJ55" s="411"/>
      <c r="HK55" s="493"/>
      <c r="HL55" s="417">
        <v>7388</v>
      </c>
      <c r="HM55" s="418">
        <f t="shared" si="162"/>
        <v>0.0198785201546107</v>
      </c>
      <c r="HN55" s="421">
        <v>10453</v>
      </c>
      <c r="HO55" s="418">
        <f t="shared" si="163"/>
        <v>0.0129857544335691</v>
      </c>
      <c r="HP55" s="421">
        <v>8639</v>
      </c>
      <c r="HQ55" s="423">
        <f t="shared" si="164"/>
        <v>0.0099368716389993</v>
      </c>
      <c r="HR55" s="439">
        <v>7360</v>
      </c>
      <c r="HS55" s="304">
        <f t="shared" si="165"/>
        <v>0.014892443463872</v>
      </c>
      <c r="HT55" s="439">
        <v>8507</v>
      </c>
      <c r="HU55" s="304">
        <f t="shared" si="166"/>
        <v>0.00579333175691653</v>
      </c>
      <c r="HV55" s="423"/>
      <c r="HW55" s="439">
        <v>7780</v>
      </c>
      <c r="HX55" s="304">
        <f t="shared" si="167"/>
        <v>0.00907911802853437</v>
      </c>
      <c r="HY55" s="439">
        <v>8144</v>
      </c>
      <c r="HZ55" s="304">
        <f t="shared" si="168"/>
        <v>0.00568041491726352</v>
      </c>
      <c r="IA55" s="439">
        <v>7954</v>
      </c>
      <c r="IB55" s="422">
        <f t="shared" si="169"/>
        <v>0.00581689428426909</v>
      </c>
      <c r="IC55" s="439">
        <v>8573</v>
      </c>
      <c r="ID55" s="425">
        <f t="shared" si="170"/>
        <v>0.00586647893934061</v>
      </c>
      <c r="IE55" s="439">
        <v>7835</v>
      </c>
      <c r="IF55" s="500">
        <f t="shared" si="171"/>
        <v>0.0056475420356822</v>
      </c>
      <c r="IG55" s="439">
        <v>6905</v>
      </c>
      <c r="IH55" s="309">
        <f t="shared" si="172"/>
        <v>0.0124633431085044</v>
      </c>
      <c r="II55" s="565">
        <v>11115</v>
      </c>
      <c r="IJ55" s="309">
        <f t="shared" si="173"/>
        <v>0.0110979714363686</v>
      </c>
      <c r="IK55" s="391">
        <f t="shared" si="174"/>
        <v>100653</v>
      </c>
      <c r="IL55" s="104">
        <f t="shared" si="175"/>
        <v>0.00986254640313033</v>
      </c>
      <c r="IM55" s="392"/>
      <c r="IN55" s="417">
        <v>7244</v>
      </c>
      <c r="IO55" s="104">
        <f t="shared" si="176"/>
        <v>0.0300073027139194</v>
      </c>
      <c r="IP55" s="103">
        <v>10319</v>
      </c>
      <c r="IQ55" s="104">
        <f t="shared" si="177"/>
        <v>0.0399314926009842</v>
      </c>
      <c r="IR55" s="103">
        <v>8554</v>
      </c>
      <c r="IS55" s="394">
        <f t="shared" si="178"/>
        <v>0.0299577786594273</v>
      </c>
      <c r="IT55" s="517">
        <v>7252</v>
      </c>
      <c r="IU55" s="104">
        <f t="shared" si="179"/>
        <v>0.0299397060285113</v>
      </c>
      <c r="IV55" s="517">
        <v>8458</v>
      </c>
      <c r="IW55" s="104">
        <f t="shared" si="180"/>
        <v>0.0305357460441051</v>
      </c>
      <c r="IX55" s="517">
        <v>7710</v>
      </c>
      <c r="IY55" s="104">
        <f t="shared" si="181"/>
        <v>0.0300549619048246</v>
      </c>
      <c r="IZ55" s="517">
        <v>8098</v>
      </c>
      <c r="JA55" s="104">
        <f t="shared" si="182"/>
        <v>0.0200081712761245</v>
      </c>
      <c r="JB55" s="103">
        <v>7908</v>
      </c>
      <c r="JC55" s="104">
        <f t="shared" si="183"/>
        <v>0.0200200497437906</v>
      </c>
      <c r="JD55" s="103">
        <v>8523</v>
      </c>
      <c r="JE55" s="394">
        <f t="shared" si="184"/>
        <v>0.0130139137824106</v>
      </c>
      <c r="JF55" s="103">
        <v>7791</v>
      </c>
      <c r="JG55" s="418">
        <f t="shared" si="185"/>
        <v>0.0149585439482283</v>
      </c>
      <c r="JH55" s="103">
        <v>6820</v>
      </c>
      <c r="JI55" s="418">
        <f t="shared" si="186"/>
        <v>0.0164251999888937</v>
      </c>
      <c r="JJ55" s="103">
        <v>10993</v>
      </c>
      <c r="JK55" s="394">
        <f t="shared" si="187"/>
        <v>0.00822194518120565</v>
      </c>
      <c r="JL55" s="399">
        <f t="shared" si="126"/>
        <v>99670</v>
      </c>
      <c r="JM55" s="398">
        <f t="shared" si="188"/>
        <v>0.0234183953103875</v>
      </c>
      <c r="JN55" s="400"/>
      <c r="JO55" s="417">
        <v>97389.298899373</v>
      </c>
      <c r="JP55" s="103">
        <v>7032.95984495752</v>
      </c>
      <c r="JQ55" s="103">
        <v>9922.76902220841</v>
      </c>
      <c r="JR55" s="103">
        <v>8305.19481209581</v>
      </c>
      <c r="JS55" s="103">
        <v>7041.18887499153</v>
      </c>
      <c r="JT55" s="103">
        <v>8207.38148333771</v>
      </c>
      <c r="JU55" s="103">
        <v>7485.03748357497</v>
      </c>
      <c r="JV55" s="103">
        <v>7939.15208529031</v>
      </c>
      <c r="JW55" s="103">
        <v>7752.78878291298</v>
      </c>
      <c r="JX55" s="103">
        <v>8413.50734085839</v>
      </c>
      <c r="JY55" s="103">
        <v>7676.17559008145</v>
      </c>
      <c r="JZ55" s="103">
        <v>6709.79035159156</v>
      </c>
      <c r="KA55" s="103">
        <v>10903.3532274724</v>
      </c>
    </row>
    <row r="56" s="284" customFormat="1" ht="28.8" hidden="1" customHeight="1" spans="1:287">
      <c r="A56" s="298" t="s">
        <v>112</v>
      </c>
      <c r="B56" s="164" t="s">
        <v>206</v>
      </c>
      <c r="C56" s="109">
        <v>5.8705</v>
      </c>
      <c r="D56" s="359">
        <f t="shared" si="76"/>
        <v>-0.364822609090811</v>
      </c>
      <c r="E56" s="163">
        <v>15.4874</v>
      </c>
      <c r="F56" s="359">
        <f t="shared" si="77"/>
        <v>1.02937784999214</v>
      </c>
      <c r="G56" s="163">
        <v>2.543</v>
      </c>
      <c r="H56" s="359">
        <f t="shared" si="78"/>
        <v>-0.236129884953891</v>
      </c>
      <c r="I56" s="163">
        <v>4.9911</v>
      </c>
      <c r="J56" s="359">
        <f t="shared" si="79"/>
        <v>-0.425273194154969</v>
      </c>
      <c r="K56" s="163">
        <v>7.1112</v>
      </c>
      <c r="L56" s="359">
        <f t="shared" si="80"/>
        <v>-0.303151458137347</v>
      </c>
      <c r="M56" s="163">
        <v>3.146</v>
      </c>
      <c r="N56" s="359">
        <f t="shared" si="81"/>
        <v>-0.548085901027078</v>
      </c>
      <c r="O56" s="163">
        <v>4.3315</v>
      </c>
      <c r="P56" s="359">
        <f t="shared" si="82"/>
        <v>-0.791061695046066</v>
      </c>
      <c r="Q56" s="127"/>
      <c r="R56" s="127"/>
      <c r="S56" s="109">
        <f t="shared" si="95"/>
        <v>43.4807</v>
      </c>
      <c r="T56" s="359">
        <f t="shared" si="96"/>
        <v>-0.531482712658491</v>
      </c>
      <c r="U56" s="359"/>
      <c r="V56" s="109">
        <v>9.2423</v>
      </c>
      <c r="W56" s="359">
        <f t="shared" si="83"/>
        <v>0.555733234581201</v>
      </c>
      <c r="X56" s="109">
        <v>7.6316</v>
      </c>
      <c r="Y56" s="359">
        <f t="shared" si="84"/>
        <v>-0.0245910020449898</v>
      </c>
      <c r="Z56" s="109">
        <v>3.3291</v>
      </c>
      <c r="AA56" s="359">
        <f t="shared" si="85"/>
        <v>0.341189267585207</v>
      </c>
      <c r="AB56" s="109">
        <v>8.6843</v>
      </c>
      <c r="AC56" s="359">
        <f t="shared" si="86"/>
        <v>0.602358064099489</v>
      </c>
      <c r="AD56" s="109">
        <v>10.2048</v>
      </c>
      <c r="AE56" s="359">
        <f t="shared" si="87"/>
        <v>0.250818165103879</v>
      </c>
      <c r="AF56" s="109">
        <v>6.9615</v>
      </c>
      <c r="AG56" s="359">
        <f t="shared" si="88"/>
        <v>0.0655900811265879</v>
      </c>
      <c r="AH56" s="109">
        <v>20.731</v>
      </c>
      <c r="AI56" s="359">
        <f t="shared" si="89"/>
        <v>0.362420562160315</v>
      </c>
      <c r="AJ56" s="109">
        <v>26.0203</v>
      </c>
      <c r="AK56" s="359">
        <f t="shared" si="90"/>
        <v>-0.162575068068152</v>
      </c>
      <c r="AL56" s="109">
        <v>6.3018</v>
      </c>
      <c r="AM56" s="359">
        <f t="shared" si="91"/>
        <v>0.034506533587235</v>
      </c>
      <c r="AN56" s="109">
        <v>6.5631</v>
      </c>
      <c r="AO56" s="359">
        <f t="shared" si="92"/>
        <v>-0.383393305085542</v>
      </c>
      <c r="AP56" s="109">
        <v>3.6566</v>
      </c>
      <c r="AQ56" s="359">
        <f t="shared" si="93"/>
        <v>0.287671232876712</v>
      </c>
      <c r="AR56" s="109">
        <v>2.5061</v>
      </c>
      <c r="AS56" s="359">
        <f t="shared" si="94"/>
        <v>-0.110491942926102</v>
      </c>
      <c r="AT56" s="107">
        <f t="shared" si="97"/>
        <v>111.8325</v>
      </c>
      <c r="AU56" s="359">
        <f t="shared" si="98"/>
        <v>0.0646769910956799</v>
      </c>
      <c r="AV56" s="360"/>
      <c r="AW56" s="450">
        <v>5.9408</v>
      </c>
      <c r="AX56" s="361">
        <v>1.01786624095649</v>
      </c>
      <c r="AY56" s="108">
        <v>7.824</v>
      </c>
      <c r="AZ56" s="361">
        <f t="shared" si="65"/>
        <v>2.72660157180281</v>
      </c>
      <c r="BA56" s="108">
        <v>2.4822</v>
      </c>
      <c r="BB56" s="361">
        <f t="shared" si="66"/>
        <v>-0.126108998732573</v>
      </c>
      <c r="BC56" s="108">
        <v>5.4197</v>
      </c>
      <c r="BD56" s="361">
        <f t="shared" si="67"/>
        <v>-0.113631531605201</v>
      </c>
      <c r="BE56" s="483">
        <v>8.1585</v>
      </c>
      <c r="BF56" s="361">
        <f t="shared" si="68"/>
        <v>-0.0472381174821909</v>
      </c>
      <c r="BG56" s="363">
        <v>6.533</v>
      </c>
      <c r="BH56" s="361">
        <f t="shared" si="69"/>
        <v>0.0847114298997145</v>
      </c>
      <c r="BI56" s="363">
        <v>15.2163</v>
      </c>
      <c r="BJ56" s="361">
        <f t="shared" si="70"/>
        <v>-0.11240025199496</v>
      </c>
      <c r="BK56" s="363">
        <v>31.0718</v>
      </c>
      <c r="BL56" s="361">
        <f t="shared" si="71"/>
        <v>0.188305032889705</v>
      </c>
      <c r="BM56" s="363">
        <v>6.0916</v>
      </c>
      <c r="BN56" s="361">
        <f t="shared" si="72"/>
        <v>0.064425378741547</v>
      </c>
      <c r="BO56" s="363">
        <v>10.6439</v>
      </c>
      <c r="BP56" s="361">
        <f t="shared" si="73"/>
        <v>0.0934090769009512</v>
      </c>
      <c r="BQ56" s="363">
        <v>2.8397</v>
      </c>
      <c r="BR56" s="361">
        <f t="shared" si="74"/>
        <v>-0.522554937202616</v>
      </c>
      <c r="BS56" s="363">
        <v>2.8174</v>
      </c>
      <c r="BT56" s="361">
        <f t="shared" si="75"/>
        <v>0.442527264348984</v>
      </c>
      <c r="BU56" s="108">
        <f t="shared" si="99"/>
        <v>105.0389</v>
      </c>
      <c r="BV56" s="361">
        <f t="shared" si="100"/>
        <v>0.102958193414523</v>
      </c>
      <c r="BW56" s="364"/>
      <c r="BX56" s="450">
        <v>2.9441</v>
      </c>
      <c r="BY56" s="361">
        <f t="shared" si="101"/>
        <v>0.699630527652696</v>
      </c>
      <c r="BZ56" s="450">
        <v>2.0995</v>
      </c>
      <c r="CA56" s="361">
        <f t="shared" si="102"/>
        <v>0.040695945276098</v>
      </c>
      <c r="CB56" s="108">
        <v>2.8404</v>
      </c>
      <c r="CC56" s="361">
        <f t="shared" si="103"/>
        <v>1.71756601607348</v>
      </c>
      <c r="CD56" s="108">
        <v>6.1145</v>
      </c>
      <c r="CE56" s="361">
        <v>8.87164998385534</v>
      </c>
      <c r="CF56" s="363">
        <v>8.563</v>
      </c>
      <c r="CG56" s="361">
        <f t="shared" si="104"/>
        <v>4.86265918115843</v>
      </c>
      <c r="CH56" s="363">
        <v>6.0228</v>
      </c>
      <c r="CI56" s="361">
        <f t="shared" si="105"/>
        <v>0.200813461998564</v>
      </c>
      <c r="CJ56" s="363">
        <v>17.1432</v>
      </c>
      <c r="CK56" s="361">
        <f t="shared" si="106"/>
        <v>-0.463342557693993</v>
      </c>
      <c r="CL56" s="108">
        <v>26.148</v>
      </c>
      <c r="CM56" s="361">
        <f t="shared" si="107"/>
        <v>0.108130443074185</v>
      </c>
      <c r="CN56" s="108">
        <v>5.7229</v>
      </c>
      <c r="CO56" s="361">
        <f t="shared" si="108"/>
        <v>1.21525896105907</v>
      </c>
      <c r="CP56" s="108">
        <v>9.7346</v>
      </c>
      <c r="CQ56" s="361">
        <f t="shared" si="109"/>
        <v>3.71843342542775</v>
      </c>
      <c r="CR56" s="108">
        <v>5.9477</v>
      </c>
      <c r="CS56" s="361">
        <f t="shared" si="110"/>
        <v>9.80417801998184</v>
      </c>
      <c r="CT56" s="108">
        <v>1.9531</v>
      </c>
      <c r="CU56" s="361">
        <f t="shared" si="111"/>
        <v>2.63502698678578</v>
      </c>
      <c r="CV56" s="108">
        <f t="shared" si="112"/>
        <v>95.2338</v>
      </c>
      <c r="CW56" s="361">
        <f t="shared" si="113"/>
        <v>0.301619886941404</v>
      </c>
      <c r="CX56" s="365">
        <f t="shared" si="114"/>
        <v>-0.671620962725087</v>
      </c>
      <c r="CY56" s="365"/>
      <c r="CZ56" s="453">
        <v>1.7322</v>
      </c>
      <c r="DA56" s="450">
        <v>2.0174</v>
      </c>
      <c r="DB56" s="450">
        <v>1.0452</v>
      </c>
      <c r="DC56" s="450">
        <v>0.6194</v>
      </c>
      <c r="DD56" s="108">
        <v>1.4606</v>
      </c>
      <c r="DE56" s="108">
        <v>5.0156</v>
      </c>
      <c r="DF56" s="108">
        <v>31.9444</v>
      </c>
      <c r="DG56" s="108">
        <v>23.5965</v>
      </c>
      <c r="DH56" s="108">
        <v>2.5834</v>
      </c>
      <c r="DI56" s="108">
        <v>2.0631</v>
      </c>
      <c r="DJ56" s="108">
        <v>0.5505</v>
      </c>
      <c r="DK56" s="108">
        <v>0.5373</v>
      </c>
      <c r="DL56" s="108">
        <v>73.1656</v>
      </c>
      <c r="DM56" s="368">
        <v>0.127977750507212</v>
      </c>
      <c r="DN56" s="369"/>
      <c r="DO56" s="370">
        <v>1.9553</v>
      </c>
      <c r="DP56" s="371">
        <f t="shared" si="128"/>
        <v>-0.842568438003221</v>
      </c>
      <c r="DQ56" s="374">
        <v>1.9</v>
      </c>
      <c r="DR56" s="373"/>
      <c r="DS56" s="374">
        <v>2.6359</v>
      </c>
      <c r="DT56" s="373">
        <f t="shared" si="115"/>
        <v>76.5264705882353</v>
      </c>
      <c r="DU56" s="374"/>
      <c r="DV56" s="374">
        <v>6.22</v>
      </c>
      <c r="DW56" s="373">
        <f t="shared" si="116"/>
        <v>3.4113475177305</v>
      </c>
      <c r="DX56" s="374">
        <v>12.42</v>
      </c>
      <c r="DY56" s="373">
        <f t="shared" si="117"/>
        <v>3.40425531914894</v>
      </c>
      <c r="DZ56" s="374">
        <v>7.0882</v>
      </c>
      <c r="EA56" s="373">
        <f t="shared" si="118"/>
        <v>1.44420689655172</v>
      </c>
      <c r="EB56" s="374">
        <v>12.2885</v>
      </c>
      <c r="EC56" s="373">
        <f t="shared" si="119"/>
        <v>6.6803125</v>
      </c>
      <c r="ED56" s="374">
        <v>2.9074</v>
      </c>
      <c r="EE56" s="373">
        <f t="shared" si="120"/>
        <v>-0.828775029446408</v>
      </c>
      <c r="EF56" s="374">
        <v>3.3063</v>
      </c>
      <c r="EG56" s="373">
        <f t="shared" si="121"/>
        <v>-0.763666904932094</v>
      </c>
      <c r="EH56" s="374">
        <v>10.4172</v>
      </c>
      <c r="EI56" s="373">
        <f t="shared" si="122"/>
        <v>0.0728321318228629</v>
      </c>
      <c r="EJ56" s="374">
        <v>1.9171</v>
      </c>
      <c r="EK56" s="373">
        <f t="shared" si="123"/>
        <v>-0.792745945945946</v>
      </c>
      <c r="EL56" s="374">
        <v>1.8085</v>
      </c>
      <c r="EM56" s="373">
        <f t="shared" si="124"/>
        <v>-0.569302214813051</v>
      </c>
      <c r="EN56" s="372">
        <f t="shared" si="127"/>
        <v>64.8644</v>
      </c>
      <c r="EO56" s="373">
        <v>-0.420299750654643</v>
      </c>
      <c r="EP56" s="375">
        <v>49</v>
      </c>
      <c r="EQ56" s="373">
        <v>0.0</v>
      </c>
      <c r="ER56" s="374">
        <v>0</v>
      </c>
      <c r="ES56" s="373">
        <f t="shared" si="130"/>
        <v>-1</v>
      </c>
      <c r="ET56" s="374">
        <v>0.034</v>
      </c>
      <c r="EU56" s="373">
        <f t="shared" si="131"/>
        <v>-0.999358490566038</v>
      </c>
      <c r="EV56" s="374">
        <v>1.41</v>
      </c>
      <c r="EW56" s="373">
        <f t="shared" si="132"/>
        <v>-0.968666666666667</v>
      </c>
      <c r="EX56" s="374">
        <v>2.82</v>
      </c>
      <c r="EY56" s="373">
        <f t="shared" si="133"/>
        <v>-0.937333333333333</v>
      </c>
      <c r="EZ56" s="374">
        <v>2.9</v>
      </c>
      <c r="FA56" s="373">
        <f t="shared" si="134"/>
        <v>-0.938297872340426</v>
      </c>
      <c r="FB56" s="374">
        <v>1.6</v>
      </c>
      <c r="FC56" s="373">
        <f t="shared" si="135"/>
        <v>-0.965217391304348</v>
      </c>
      <c r="FD56" s="374">
        <v>16.98</v>
      </c>
      <c r="FE56" s="373">
        <f t="shared" si="136"/>
        <v>-0.622666666666667</v>
      </c>
      <c r="FF56" s="374">
        <v>13.99</v>
      </c>
      <c r="FG56" s="373">
        <f t="shared" si="137"/>
        <v>-0.68561797752809</v>
      </c>
      <c r="FH56" s="374">
        <v>9.71</v>
      </c>
      <c r="FI56" s="373">
        <f t="shared" si="138"/>
        <v>-0.793404255319149</v>
      </c>
      <c r="FJ56" s="374">
        <v>9.25</v>
      </c>
      <c r="FK56" s="373">
        <f t="shared" si="139"/>
        <v>-0.779761904761905</v>
      </c>
      <c r="FL56" s="374">
        <v>4.199</v>
      </c>
      <c r="FM56" s="373">
        <f t="shared" si="140"/>
        <v>-0.912520833333333</v>
      </c>
      <c r="FN56" s="374">
        <v>111.893</v>
      </c>
      <c r="FO56" s="373">
        <f t="shared" si="142"/>
        <v>-0.804211723534558</v>
      </c>
      <c r="FP56" s="375">
        <v>49</v>
      </c>
      <c r="FQ56" s="375">
        <v>60</v>
      </c>
      <c r="FR56" s="375">
        <v>53</v>
      </c>
      <c r="FS56" s="375">
        <v>45</v>
      </c>
      <c r="FT56" s="375">
        <v>45</v>
      </c>
      <c r="FU56" s="375">
        <v>47</v>
      </c>
      <c r="FV56" s="484">
        <v>46</v>
      </c>
      <c r="FW56" s="484">
        <v>45</v>
      </c>
      <c r="FX56" s="484">
        <v>44.5</v>
      </c>
      <c r="FY56" s="484">
        <v>47</v>
      </c>
      <c r="FZ56" s="376">
        <f t="shared" si="143"/>
        <v>0</v>
      </c>
      <c r="GA56" s="484">
        <v>42</v>
      </c>
      <c r="GB56" s="376">
        <f t="shared" si="144"/>
        <v>0</v>
      </c>
      <c r="GC56" s="484">
        <v>48</v>
      </c>
      <c r="GD56" s="376">
        <f t="shared" si="145"/>
        <v>-0.0204081632653061</v>
      </c>
      <c r="GE56" s="375">
        <f t="shared" si="146"/>
        <v>571.5</v>
      </c>
      <c r="GF56" s="377">
        <f t="shared" si="147"/>
        <v>-0.0180412371134021</v>
      </c>
      <c r="GG56" s="317"/>
      <c r="GH56" s="378"/>
      <c r="GI56" s="379">
        <v>49</v>
      </c>
      <c r="GJ56" s="376">
        <f t="shared" si="148"/>
        <v>0</v>
      </c>
      <c r="GK56" s="375">
        <v>67</v>
      </c>
      <c r="GL56" s="376">
        <f t="shared" si="149"/>
        <v>-0.0147058823529412</v>
      </c>
      <c r="GM56" s="375">
        <v>55</v>
      </c>
      <c r="GN56" s="376">
        <f t="shared" si="150"/>
        <v>0</v>
      </c>
      <c r="GO56" s="375">
        <v>45</v>
      </c>
      <c r="GP56" s="376">
        <f t="shared" si="151"/>
        <v>0</v>
      </c>
      <c r="GQ56" s="375">
        <v>45</v>
      </c>
      <c r="GR56" s="376">
        <f t="shared" si="152"/>
        <v>0</v>
      </c>
      <c r="GS56" s="375">
        <v>47</v>
      </c>
      <c r="GT56" s="376">
        <f t="shared" si="153"/>
        <v>0</v>
      </c>
      <c r="GU56" s="375">
        <v>46</v>
      </c>
      <c r="GV56" s="376">
        <f t="shared" si="154"/>
        <v>0</v>
      </c>
      <c r="GW56" s="375">
        <v>45</v>
      </c>
      <c r="GX56" s="376">
        <f t="shared" si="155"/>
        <v>0</v>
      </c>
      <c r="GY56" s="375">
        <v>45</v>
      </c>
      <c r="GZ56" s="376">
        <f t="shared" si="156"/>
        <v>0</v>
      </c>
      <c r="HA56" s="375">
        <v>47</v>
      </c>
      <c r="HB56" s="376">
        <f t="shared" si="157"/>
        <v>0</v>
      </c>
      <c r="HC56" s="375">
        <v>42</v>
      </c>
      <c r="HD56" s="376">
        <f t="shared" si="158"/>
        <v>0</v>
      </c>
      <c r="HE56" s="375">
        <v>49</v>
      </c>
      <c r="HF56" s="376">
        <f t="shared" si="159"/>
        <v>0</v>
      </c>
      <c r="HG56" s="375">
        <f t="shared" si="160"/>
        <v>582</v>
      </c>
      <c r="HH56" s="375">
        <f t="shared" si="161"/>
        <v>582</v>
      </c>
      <c r="HI56" s="377"/>
      <c r="HJ56" s="369"/>
      <c r="HK56" s="485"/>
      <c r="HL56" s="379">
        <v>49</v>
      </c>
      <c r="HM56" s="380">
        <f t="shared" si="162"/>
        <v>0.0103092783505155</v>
      </c>
      <c r="HN56" s="462">
        <v>68</v>
      </c>
      <c r="HO56" s="380">
        <f t="shared" si="163"/>
        <v>0.0149253731343284</v>
      </c>
      <c r="HP56" s="462">
        <v>55</v>
      </c>
      <c r="HQ56" s="466">
        <f t="shared" si="164"/>
        <v>0</v>
      </c>
      <c r="HR56" s="464">
        <v>45</v>
      </c>
      <c r="HS56" s="465">
        <f t="shared" si="165"/>
        <v>0.0227272727272727</v>
      </c>
      <c r="HT56" s="464">
        <v>45</v>
      </c>
      <c r="HU56" s="465">
        <f t="shared" si="166"/>
        <v>0.0227272727272727</v>
      </c>
      <c r="HV56" s="466"/>
      <c r="HW56" s="464">
        <v>47</v>
      </c>
      <c r="HX56" s="465">
        <f t="shared" si="167"/>
        <v>0.0217391304347826</v>
      </c>
      <c r="HY56" s="464">
        <v>46</v>
      </c>
      <c r="HZ56" s="465">
        <f t="shared" si="168"/>
        <v>0</v>
      </c>
      <c r="IA56" s="464">
        <v>45</v>
      </c>
      <c r="IB56" s="390">
        <f t="shared" si="169"/>
        <v>0</v>
      </c>
      <c r="IC56" s="464">
        <v>45</v>
      </c>
      <c r="ID56" s="390">
        <f t="shared" si="170"/>
        <v>0</v>
      </c>
      <c r="IE56" s="464">
        <v>47</v>
      </c>
      <c r="IF56" s="377">
        <f t="shared" si="171"/>
        <v>0</v>
      </c>
      <c r="IG56" s="464">
        <v>42</v>
      </c>
      <c r="IH56" s="390">
        <f t="shared" si="172"/>
        <v>0.024390243902439</v>
      </c>
      <c r="II56" s="559">
        <v>49</v>
      </c>
      <c r="IJ56" s="309">
        <f t="shared" si="173"/>
        <v>0</v>
      </c>
      <c r="IK56" s="391">
        <f t="shared" si="174"/>
        <v>583</v>
      </c>
      <c r="IL56" s="104">
        <f t="shared" si="175"/>
        <v>0.00952380952380949</v>
      </c>
      <c r="IM56" s="392"/>
      <c r="IN56" s="467">
        <v>48.5</v>
      </c>
      <c r="IO56" s="413">
        <f t="shared" si="176"/>
        <v>0.00181890842564503</v>
      </c>
      <c r="IP56" s="414">
        <v>67</v>
      </c>
      <c r="IQ56" s="413">
        <f t="shared" si="177"/>
        <v>0.00677598295760795</v>
      </c>
      <c r="IR56" s="414">
        <v>55</v>
      </c>
      <c r="IS56" s="394">
        <f t="shared" si="178"/>
        <v>0.0287376367435989</v>
      </c>
      <c r="IT56" s="513">
        <v>44</v>
      </c>
      <c r="IU56" s="413">
        <f t="shared" si="179"/>
        <v>0.0272667457723785</v>
      </c>
      <c r="IV56" s="513">
        <v>44</v>
      </c>
      <c r="IW56" s="413">
        <f t="shared" si="180"/>
        <v>0.0222988250747499</v>
      </c>
      <c r="IX56" s="513">
        <v>46</v>
      </c>
      <c r="IY56" s="413">
        <f t="shared" si="181"/>
        <v>0.0213762837699203</v>
      </c>
      <c r="IZ56" s="513">
        <v>46</v>
      </c>
      <c r="JA56" s="376">
        <f t="shared" si="182"/>
        <v>0.0214086311563004</v>
      </c>
      <c r="JB56" s="414">
        <v>45</v>
      </c>
      <c r="JC56" s="413">
        <f t="shared" si="183"/>
        <v>0.0305028538913242</v>
      </c>
      <c r="JD56" s="414">
        <v>45</v>
      </c>
      <c r="JE56" s="469">
        <f t="shared" si="184"/>
        <v>0.0250308142425082</v>
      </c>
      <c r="JF56" s="414">
        <v>47</v>
      </c>
      <c r="JG56" s="471">
        <f t="shared" si="185"/>
        <v>0.0282287944583536</v>
      </c>
      <c r="JH56" s="375">
        <v>41</v>
      </c>
      <c r="JI56" s="380">
        <f t="shared" si="186"/>
        <v>0.00832223515450897</v>
      </c>
      <c r="JJ56" s="472">
        <v>49</v>
      </c>
      <c r="JK56" s="377">
        <f t="shared" si="187"/>
        <v>0.0258719065554706</v>
      </c>
      <c r="JL56" s="399">
        <f t="shared" si="126"/>
        <v>577.5</v>
      </c>
      <c r="JM56" s="398">
        <f t="shared" si="188"/>
        <v>0.0201833600461105</v>
      </c>
      <c r="JN56" s="400"/>
      <c r="JO56" s="383">
        <v>566.074710308839</v>
      </c>
      <c r="JP56" s="374">
        <v>48.4119431087776</v>
      </c>
      <c r="JQ56" s="374">
        <v>66.5490646719382</v>
      </c>
      <c r="JR56" s="374">
        <v>53.4635829734964</v>
      </c>
      <c r="JS56" s="374">
        <v>42.8321078055704</v>
      </c>
      <c r="JT56" s="374">
        <v>43.0402529287684</v>
      </c>
      <c r="JU56" s="374">
        <v>45.0372705250342</v>
      </c>
      <c r="JV56" s="374">
        <v>45.0358442222336</v>
      </c>
      <c r="JW56" s="374">
        <v>43.668001335536</v>
      </c>
      <c r="JX56" s="374">
        <v>43.9011192392833</v>
      </c>
      <c r="JY56" s="374">
        <v>45.7096710900403</v>
      </c>
      <c r="JZ56" s="374">
        <v>40.66160456505</v>
      </c>
      <c r="KA56" s="374">
        <v>47.7642478431107</v>
      </c>
    </row>
    <row r="57" s="285" customFormat="1" ht="28.8" hidden="1" customHeight="1" spans="1:287">
      <c r="A57" s="28"/>
      <c r="B57" s="141" t="s">
        <v>209</v>
      </c>
      <c r="C57" s="163">
        <v>265.8931</v>
      </c>
      <c r="D57" s="359">
        <f t="shared" si="76"/>
        <v>-0.333669055228967</v>
      </c>
      <c r="E57" s="163">
        <v>624.3892</v>
      </c>
      <c r="F57" s="359">
        <f t="shared" si="77"/>
        <v>0.843002623165857</v>
      </c>
      <c r="G57" s="163">
        <v>137.2869</v>
      </c>
      <c r="H57" s="359">
        <f t="shared" si="78"/>
        <v>-0.154370192061901</v>
      </c>
      <c r="I57" s="163">
        <v>237.1374</v>
      </c>
      <c r="J57" s="359">
        <f t="shared" si="79"/>
        <v>-0.164315006725657</v>
      </c>
      <c r="K57" s="163">
        <v>292.4533</v>
      </c>
      <c r="L57" s="359">
        <f t="shared" si="80"/>
        <v>-0.221377181723377</v>
      </c>
      <c r="M57" s="163">
        <v>196.8723</v>
      </c>
      <c r="N57" s="359">
        <f t="shared" si="81"/>
        <v>-0.295899404953074</v>
      </c>
      <c r="O57" s="163">
        <v>234.0598</v>
      </c>
      <c r="P57" s="359">
        <f t="shared" si="82"/>
        <v>-0.626064505285921</v>
      </c>
      <c r="Q57" s="127"/>
      <c r="R57" s="127"/>
      <c r="S57" s="109">
        <f t="shared" si="95"/>
        <v>1988.092</v>
      </c>
      <c r="T57" s="359">
        <f t="shared" si="96"/>
        <v>-0.390333304814028</v>
      </c>
      <c r="U57" s="359"/>
      <c r="V57" s="163">
        <v>399.0406</v>
      </c>
      <c r="W57" s="474">
        <f t="shared" si="83"/>
        <v>-0.0299470341764237</v>
      </c>
      <c r="X57" s="473">
        <v>338.7891</v>
      </c>
      <c r="Y57" s="475">
        <f t="shared" si="84"/>
        <v>-0.30722126465633</v>
      </c>
      <c r="Z57" s="473">
        <v>162.3487</v>
      </c>
      <c r="AA57" s="475">
        <f t="shared" si="85"/>
        <v>0.0786285661134511</v>
      </c>
      <c r="AB57" s="473">
        <v>283.7641</v>
      </c>
      <c r="AC57" s="475">
        <f t="shared" si="86"/>
        <v>0.21818693850812</v>
      </c>
      <c r="AD57" s="473">
        <v>375.6033</v>
      </c>
      <c r="AE57" s="475">
        <f t="shared" si="87"/>
        <v>0.181542988472193</v>
      </c>
      <c r="AF57" s="473">
        <v>279.6082</v>
      </c>
      <c r="AG57" s="475">
        <f t="shared" si="88"/>
        <v>-0.0228641681239402</v>
      </c>
      <c r="AH57" s="473">
        <v>625.9363</v>
      </c>
      <c r="AI57" s="475">
        <f t="shared" si="89"/>
        <v>0.289025405857796</v>
      </c>
      <c r="AJ57" s="473">
        <v>795.8587</v>
      </c>
      <c r="AK57" s="475">
        <f t="shared" si="90"/>
        <v>0.0312134808195872</v>
      </c>
      <c r="AL57" s="473">
        <v>275.5023</v>
      </c>
      <c r="AM57" s="475">
        <f t="shared" si="91"/>
        <v>0.0907029729820679</v>
      </c>
      <c r="AN57" s="473">
        <v>244.5013</v>
      </c>
      <c r="AO57" s="475">
        <f t="shared" si="92"/>
        <v>-0.345122055743343</v>
      </c>
      <c r="AP57" s="473">
        <v>179.5328</v>
      </c>
      <c r="AQ57" s="475">
        <f t="shared" si="93"/>
        <v>0.194482830200856</v>
      </c>
      <c r="AR57" s="473">
        <v>161.6252</v>
      </c>
      <c r="AS57" s="475">
        <f t="shared" si="94"/>
        <v>0.0860821060256736</v>
      </c>
      <c r="AT57" s="107">
        <f t="shared" si="97"/>
        <v>4122.1106</v>
      </c>
      <c r="AU57" s="359">
        <f t="shared" si="98"/>
        <v>0.0127275455680773</v>
      </c>
      <c r="AV57" s="360"/>
      <c r="AW57" s="488">
        <v>411.3596</v>
      </c>
      <c r="AX57" s="404">
        <v>1.50896644095543</v>
      </c>
      <c r="AY57" s="403">
        <v>489.0293</v>
      </c>
      <c r="AZ57" s="405">
        <f t="shared" si="65"/>
        <v>2.35202977575647</v>
      </c>
      <c r="BA57" s="403">
        <v>150.514</v>
      </c>
      <c r="BB57" s="405">
        <f t="shared" si="66"/>
        <v>-0.0346394312791345</v>
      </c>
      <c r="BC57" s="403">
        <v>232.9397</v>
      </c>
      <c r="BD57" s="405">
        <f t="shared" si="67"/>
        <v>-0.0510708972430752</v>
      </c>
      <c r="BE57" s="406">
        <v>317.8922</v>
      </c>
      <c r="BF57" s="405">
        <f t="shared" si="68"/>
        <v>0.0436073786395019</v>
      </c>
      <c r="BG57" s="403">
        <v>286.1508</v>
      </c>
      <c r="BH57" s="405">
        <f t="shared" si="69"/>
        <v>0.200987144458015</v>
      </c>
      <c r="BI57" s="403">
        <v>485.5888</v>
      </c>
      <c r="BJ57" s="405">
        <f t="shared" si="70"/>
        <v>-0.140347066322443</v>
      </c>
      <c r="BK57" s="403">
        <v>771.7691</v>
      </c>
      <c r="BL57" s="475">
        <f t="shared" si="71"/>
        <v>-0.0275385938234762</v>
      </c>
      <c r="BM57" s="163">
        <v>252.5915</v>
      </c>
      <c r="BN57" s="475">
        <f t="shared" si="72"/>
        <v>-0.00357950271184604</v>
      </c>
      <c r="BO57" s="163">
        <v>373.354</v>
      </c>
      <c r="BP57" s="475">
        <f t="shared" si="73"/>
        <v>0.0152568339771699</v>
      </c>
      <c r="BQ57" s="163">
        <v>150.3017</v>
      </c>
      <c r="BR57" s="475">
        <f t="shared" si="74"/>
        <v>-0.458974496497412</v>
      </c>
      <c r="BS57" s="163">
        <v>148.8149</v>
      </c>
      <c r="BT57" s="475">
        <f t="shared" si="75"/>
        <v>0.23141600316429</v>
      </c>
      <c r="BU57" s="109">
        <f t="shared" si="99"/>
        <v>4070.3056</v>
      </c>
      <c r="BV57" s="359">
        <f t="shared" si="100"/>
        <v>0.120524659079128</v>
      </c>
      <c r="BW57" s="429"/>
      <c r="BX57" s="473">
        <v>163.9558</v>
      </c>
      <c r="BY57" s="475">
        <f t="shared" si="101"/>
        <v>0.276809918192048</v>
      </c>
      <c r="BZ57" s="473">
        <v>145.8905</v>
      </c>
      <c r="CA57" s="475">
        <f t="shared" si="102"/>
        <v>-0.0672374428493884</v>
      </c>
      <c r="CB57" s="448">
        <v>155.9148</v>
      </c>
      <c r="CC57" s="359">
        <f t="shared" si="103"/>
        <v>0.839676606348937</v>
      </c>
      <c r="CD57" s="109">
        <v>245.4764</v>
      </c>
      <c r="CE57" s="359">
        <v>4.38282942574709</v>
      </c>
      <c r="CF57" s="163">
        <v>304.609</v>
      </c>
      <c r="CG57" s="359">
        <f t="shared" si="104"/>
        <v>2.69738423256661</v>
      </c>
      <c r="CH57" s="163">
        <v>238.263</v>
      </c>
      <c r="CI57" s="359">
        <f t="shared" si="105"/>
        <v>0.0362063131855659</v>
      </c>
      <c r="CJ57" s="163">
        <v>564.8661</v>
      </c>
      <c r="CK57" s="359">
        <f t="shared" si="106"/>
        <v>-0.546345197331203</v>
      </c>
      <c r="CL57" s="109">
        <v>793.6244</v>
      </c>
      <c r="CM57" s="359">
        <f t="shared" si="107"/>
        <v>0.0209023851282149</v>
      </c>
      <c r="CN57" s="109">
        <v>253.4989</v>
      </c>
      <c r="CO57" s="359">
        <f t="shared" si="108"/>
        <v>0.693954261031799</v>
      </c>
      <c r="CP57" s="109">
        <v>367.7434</v>
      </c>
      <c r="CQ57" s="359">
        <f t="shared" si="109"/>
        <v>2.62336256050952</v>
      </c>
      <c r="CR57" s="109">
        <v>277.8089</v>
      </c>
      <c r="CS57" s="359">
        <f t="shared" si="110"/>
        <v>5.35565596367006</v>
      </c>
      <c r="CT57" s="109">
        <v>120.8486</v>
      </c>
      <c r="CU57" s="359">
        <f t="shared" si="111"/>
        <v>2.17524619281338</v>
      </c>
      <c r="CV57" s="109">
        <f t="shared" si="112"/>
        <v>3632.4998</v>
      </c>
      <c r="CW57" s="359">
        <f t="shared" si="113"/>
        <v>0.178263242803787</v>
      </c>
      <c r="CX57" s="408">
        <f t="shared" si="114"/>
        <v>-0.564993778097102</v>
      </c>
      <c r="CY57" s="408"/>
      <c r="CZ57" s="477">
        <v>128.4105</v>
      </c>
      <c r="DA57" s="473">
        <v>156.4069</v>
      </c>
      <c r="DB57" s="473">
        <v>84.7512</v>
      </c>
      <c r="DC57" s="473">
        <v>45.6036</v>
      </c>
      <c r="DD57" s="473">
        <v>82.385</v>
      </c>
      <c r="DE57" s="448">
        <v>229.9378</v>
      </c>
      <c r="DF57" s="448">
        <v>1245.1452</v>
      </c>
      <c r="DG57" s="448">
        <v>777.3754</v>
      </c>
      <c r="DH57" s="448">
        <v>149.6492</v>
      </c>
      <c r="DI57" s="448">
        <v>101.4923</v>
      </c>
      <c r="DJ57" s="448">
        <v>43.7105</v>
      </c>
      <c r="DK57" s="448">
        <v>38.0596</v>
      </c>
      <c r="DL57" s="448">
        <v>3082.9272</v>
      </c>
      <c r="DM57" s="449">
        <v>0.0547923327274721</v>
      </c>
      <c r="DN57" s="411"/>
      <c r="DO57" s="412">
        <v>167.7467</v>
      </c>
      <c r="DP57" s="87">
        <f t="shared" si="128"/>
        <v>-0.674682530447599</v>
      </c>
      <c r="DQ57" s="103">
        <v>115.94</v>
      </c>
      <c r="DR57" s="104"/>
      <c r="DS57" s="103">
        <v>162.652</v>
      </c>
      <c r="DT57" s="104">
        <f t="shared" si="115"/>
        <v>18.0682297772567</v>
      </c>
      <c r="DU57" s="103"/>
      <c r="DV57" s="103">
        <v>312.87</v>
      </c>
      <c r="DW57" s="104">
        <f t="shared" si="116"/>
        <v>4.66178067318133</v>
      </c>
      <c r="DX57" s="103">
        <v>515.64</v>
      </c>
      <c r="DY57" s="104">
        <f t="shared" si="117"/>
        <v>4.89302857142857</v>
      </c>
      <c r="DZ57" s="103">
        <v>300.7018</v>
      </c>
      <c r="EA57" s="104">
        <f t="shared" si="118"/>
        <v>3.00029000931223</v>
      </c>
      <c r="EB57" s="103">
        <v>477.3823</v>
      </c>
      <c r="EC57" s="104">
        <f t="shared" si="119"/>
        <v>6.18949246987952</v>
      </c>
      <c r="ED57" s="103">
        <v>105.3394</v>
      </c>
      <c r="EE57" s="104">
        <f t="shared" si="120"/>
        <v>-0.735971626939369</v>
      </c>
      <c r="EF57" s="103">
        <v>165.1512</v>
      </c>
      <c r="EG57" s="104">
        <f t="shared" si="121"/>
        <v>-0.55411539188423</v>
      </c>
      <c r="EH57" s="103">
        <v>360.7186</v>
      </c>
      <c r="EI57" s="104">
        <f t="shared" si="122"/>
        <v>0.345462886982469</v>
      </c>
      <c r="EJ57" s="103">
        <v>114.1667</v>
      </c>
      <c r="EK57" s="104">
        <f t="shared" si="123"/>
        <v>-0.638827269851313</v>
      </c>
      <c r="EL57" s="103">
        <v>124.4725</v>
      </c>
      <c r="EM57" s="104">
        <f t="shared" si="124"/>
        <v>0.19773774814045</v>
      </c>
      <c r="EN57" s="93">
        <f t="shared" si="127"/>
        <v>2922.7812</v>
      </c>
      <c r="EO57" s="104">
        <v>-0.12026506594894</v>
      </c>
      <c r="EP57" s="602">
        <v>1572</v>
      </c>
      <c r="EQ57" s="104">
        <v>-0.00127064803049555</v>
      </c>
      <c r="ER57" s="103">
        <v>0</v>
      </c>
      <c r="ES57" s="104">
        <f t="shared" si="130"/>
        <v>-1</v>
      </c>
      <c r="ET57" s="103">
        <v>8.53</v>
      </c>
      <c r="EU57" s="104">
        <f t="shared" si="131"/>
        <v>-0.995361609570419</v>
      </c>
      <c r="EV57" s="103">
        <v>55.26</v>
      </c>
      <c r="EW57" s="104">
        <f t="shared" si="132"/>
        <v>-0.965570093457944</v>
      </c>
      <c r="EX57" s="103">
        <v>87.5</v>
      </c>
      <c r="EY57" s="104">
        <f t="shared" si="133"/>
        <v>-0.953233564938536</v>
      </c>
      <c r="EZ57" s="103">
        <v>75.17</v>
      </c>
      <c r="FA57" s="104">
        <f t="shared" si="134"/>
        <v>-0.95591202346041</v>
      </c>
      <c r="FB57" s="103">
        <v>66.4</v>
      </c>
      <c r="FC57" s="104">
        <f t="shared" si="135"/>
        <v>-0.962738496071829</v>
      </c>
      <c r="FD57" s="103">
        <v>398.97</v>
      </c>
      <c r="FE57" s="104">
        <f t="shared" si="136"/>
        <v>-0.772017142857143</v>
      </c>
      <c r="FF57" s="103">
        <v>370.39</v>
      </c>
      <c r="FG57" s="104">
        <f t="shared" si="137"/>
        <v>-0.802984042553192</v>
      </c>
      <c r="FH57" s="103">
        <v>268.1</v>
      </c>
      <c r="FI57" s="104">
        <f t="shared" si="138"/>
        <v>-0.845297172533179</v>
      </c>
      <c r="FJ57" s="103">
        <v>316.1</v>
      </c>
      <c r="FK57" s="104">
        <f t="shared" si="139"/>
        <v>-0.791353135313531</v>
      </c>
      <c r="FL57" s="103">
        <v>103.923</v>
      </c>
      <c r="FM57" s="104">
        <f t="shared" si="140"/>
        <v>-0.955512414383562</v>
      </c>
      <c r="FN57" s="103">
        <v>3322.343</v>
      </c>
      <c r="FO57" s="104">
        <f t="shared" si="142"/>
        <v>-0.847668821641449</v>
      </c>
      <c r="FP57" s="602">
        <v>1574</v>
      </c>
      <c r="FQ57" s="602">
        <v>2220</v>
      </c>
      <c r="FR57" s="602">
        <v>1839</v>
      </c>
      <c r="FS57" s="602">
        <v>1605</v>
      </c>
      <c r="FT57" s="602">
        <v>1871</v>
      </c>
      <c r="FU57" s="602">
        <v>1705</v>
      </c>
      <c r="FV57" s="603">
        <v>1782</v>
      </c>
      <c r="FW57" s="603">
        <v>1750</v>
      </c>
      <c r="FX57" s="603">
        <v>1880</v>
      </c>
      <c r="FY57" s="603">
        <v>1733</v>
      </c>
      <c r="FZ57" s="413">
        <f t="shared" si="143"/>
        <v>0.00115540150202195</v>
      </c>
      <c r="GA57" s="603">
        <v>1515</v>
      </c>
      <c r="GB57" s="413">
        <f t="shared" si="144"/>
        <v>0.00132187706543291</v>
      </c>
      <c r="GC57" s="603">
        <v>2336</v>
      </c>
      <c r="GD57" s="413">
        <f t="shared" si="145"/>
        <v>-0.0500203334688898</v>
      </c>
      <c r="GE57" s="414">
        <f t="shared" si="146"/>
        <v>21810</v>
      </c>
      <c r="GF57" s="604">
        <f t="shared" si="147"/>
        <v>-0.00456412596987677</v>
      </c>
      <c r="GG57" s="415"/>
      <c r="GH57" s="392"/>
      <c r="GI57" s="417">
        <v>1572</v>
      </c>
      <c r="GJ57" s="104">
        <f t="shared" si="148"/>
        <v>0.00063653723742839</v>
      </c>
      <c r="GK57" s="103">
        <v>2149</v>
      </c>
      <c r="GL57" s="104">
        <f t="shared" si="149"/>
        <v>-0.0302346570397112</v>
      </c>
      <c r="GM57" s="103">
        <v>1875</v>
      </c>
      <c r="GN57" s="104">
        <f t="shared" si="150"/>
        <v>0.00106780565936999</v>
      </c>
      <c r="GO57" s="103">
        <v>1605</v>
      </c>
      <c r="GP57" s="104">
        <f t="shared" si="151"/>
        <v>0.000623441396508728</v>
      </c>
      <c r="GQ57" s="103">
        <v>1871</v>
      </c>
      <c r="GR57" s="104">
        <f t="shared" si="152"/>
        <v>0.16645885286783</v>
      </c>
      <c r="GS57" s="103">
        <v>1705</v>
      </c>
      <c r="GT57" s="104">
        <f t="shared" si="153"/>
        <v>0</v>
      </c>
      <c r="GU57" s="103">
        <v>1782</v>
      </c>
      <c r="GV57" s="104">
        <f t="shared" si="154"/>
        <v>0.00112359550561798</v>
      </c>
      <c r="GW57" s="103">
        <v>1750</v>
      </c>
      <c r="GX57" s="104">
        <f t="shared" si="155"/>
        <v>0.0011441647597254</v>
      </c>
      <c r="GY57" s="103">
        <v>1898</v>
      </c>
      <c r="GZ57" s="104">
        <f t="shared" si="156"/>
        <v>0</v>
      </c>
      <c r="HA57" s="103">
        <v>1731</v>
      </c>
      <c r="HB57" s="104">
        <f t="shared" si="157"/>
        <v>0</v>
      </c>
      <c r="HC57" s="103">
        <v>1513</v>
      </c>
      <c r="HD57" s="104">
        <f t="shared" si="158"/>
        <v>0</v>
      </c>
      <c r="HE57" s="103">
        <v>2459</v>
      </c>
      <c r="HF57" s="104">
        <f t="shared" si="159"/>
        <v>0</v>
      </c>
      <c r="HG57" s="414">
        <f t="shared" si="160"/>
        <v>21910</v>
      </c>
      <c r="HH57" s="103">
        <f t="shared" si="161"/>
        <v>21910</v>
      </c>
      <c r="HI57" s="394"/>
      <c r="HJ57" s="411"/>
      <c r="HK57" s="493"/>
      <c r="HL57" s="417">
        <v>1571</v>
      </c>
      <c r="HM57" s="418">
        <f t="shared" si="162"/>
        <v>0.0102893890675241</v>
      </c>
      <c r="HN57" s="421">
        <v>2216</v>
      </c>
      <c r="HO57" s="418">
        <f t="shared" si="163"/>
        <v>0.0100273473108478</v>
      </c>
      <c r="HP57" s="421">
        <v>1873</v>
      </c>
      <c r="HQ57" s="423">
        <f t="shared" si="164"/>
        <v>0.00970350404312668</v>
      </c>
      <c r="HR57" s="439">
        <v>1604</v>
      </c>
      <c r="HS57" s="304">
        <f t="shared" si="165"/>
        <v>0.0100755667506297</v>
      </c>
      <c r="HT57" s="439">
        <v>1604</v>
      </c>
      <c r="HU57" s="304">
        <f t="shared" si="166"/>
        <v>0.0100755667506297</v>
      </c>
      <c r="HV57" s="423"/>
      <c r="HW57" s="439">
        <v>1705</v>
      </c>
      <c r="HX57" s="304">
        <f t="shared" si="167"/>
        <v>0.0100710900473934</v>
      </c>
      <c r="HY57" s="439">
        <v>1780</v>
      </c>
      <c r="HZ57" s="304">
        <f t="shared" si="168"/>
        <v>0.0102156640181612</v>
      </c>
      <c r="IA57" s="439">
        <v>1748</v>
      </c>
      <c r="IB57" s="422">
        <f t="shared" si="169"/>
        <v>0.0098209127671866</v>
      </c>
      <c r="IC57" s="439">
        <v>1898</v>
      </c>
      <c r="ID57" s="425">
        <f t="shared" si="170"/>
        <v>0.010111761575306</v>
      </c>
      <c r="IE57" s="439">
        <v>1731</v>
      </c>
      <c r="IF57" s="500">
        <f t="shared" si="171"/>
        <v>0.00991831971995333</v>
      </c>
      <c r="IG57" s="439">
        <v>1513</v>
      </c>
      <c r="IH57" s="309">
        <f t="shared" si="172"/>
        <v>0.0100133511348465</v>
      </c>
      <c r="II57" s="565">
        <v>2459</v>
      </c>
      <c r="IJ57" s="309">
        <f t="shared" si="173"/>
        <v>0.00985626283367557</v>
      </c>
      <c r="IK57" s="391">
        <f t="shared" si="174"/>
        <v>21702</v>
      </c>
      <c r="IL57" s="104">
        <f t="shared" si="175"/>
        <v>0.0100060501698702</v>
      </c>
      <c r="IM57" s="392"/>
      <c r="IN57" s="417">
        <v>1555</v>
      </c>
      <c r="IO57" s="104">
        <f t="shared" si="176"/>
        <v>0.00996715789933678</v>
      </c>
      <c r="IP57" s="103">
        <v>2194</v>
      </c>
      <c r="IQ57" s="104">
        <f t="shared" si="177"/>
        <v>0.0099938682116596</v>
      </c>
      <c r="IR57" s="103">
        <v>1855</v>
      </c>
      <c r="IS57" s="394">
        <f t="shared" si="178"/>
        <v>0.0202558320846594</v>
      </c>
      <c r="IT57" s="517">
        <v>1588</v>
      </c>
      <c r="IU57" s="104">
        <f t="shared" si="179"/>
        <v>0.0301951477981785</v>
      </c>
      <c r="IV57" s="517">
        <v>1588</v>
      </c>
      <c r="IW57" s="104">
        <f t="shared" si="180"/>
        <v>-0.116186005430213</v>
      </c>
      <c r="IX57" s="517">
        <v>1688</v>
      </c>
      <c r="IY57" s="104">
        <f t="shared" si="181"/>
        <v>0.0301333769496064</v>
      </c>
      <c r="IZ57" s="517">
        <v>1762</v>
      </c>
      <c r="JA57" s="373">
        <f t="shared" si="182"/>
        <v>0.0137871417724791</v>
      </c>
      <c r="JB57" s="103">
        <v>1731</v>
      </c>
      <c r="JC57" s="104">
        <f t="shared" si="183"/>
        <v>0.0198918274507321</v>
      </c>
      <c r="JD57" s="103">
        <v>1879</v>
      </c>
      <c r="JE57" s="394">
        <f t="shared" si="184"/>
        <v>0.0201515603547266</v>
      </c>
      <c r="JF57" s="103">
        <v>1714</v>
      </c>
      <c r="JG57" s="418">
        <f t="shared" si="185"/>
        <v>0.019954769452469</v>
      </c>
      <c r="JH57" s="103">
        <v>1498</v>
      </c>
      <c r="JI57" s="418">
        <f t="shared" si="186"/>
        <v>0.0198066946907325</v>
      </c>
      <c r="JJ57" s="103">
        <v>2435</v>
      </c>
      <c r="JK57" s="394">
        <f t="shared" si="187"/>
        <v>0.0201261484650706</v>
      </c>
      <c r="JL57" s="399">
        <f t="shared" si="126"/>
        <v>21487</v>
      </c>
      <c r="JM57" s="398">
        <f t="shared" si="188"/>
        <v>0.00781203555678123</v>
      </c>
      <c r="JN57" s="400"/>
      <c r="JO57" s="417">
        <v>21320.443933902</v>
      </c>
      <c r="JP57" s="103">
        <v>1539.65402522028</v>
      </c>
      <c r="JQ57" s="103">
        <v>2172.29041586638</v>
      </c>
      <c r="JR57" s="103">
        <v>1818.17142491578</v>
      </c>
      <c r="JS57" s="103">
        <v>1541.4555226687</v>
      </c>
      <c r="JT57" s="103">
        <v>1796.7581524583</v>
      </c>
      <c r="JU57" s="103">
        <v>1638.62276261589</v>
      </c>
      <c r="JV57" s="103">
        <v>1738.03743152568</v>
      </c>
      <c r="JW57" s="103">
        <v>1697.23881828401</v>
      </c>
      <c r="JX57" s="103">
        <v>1841.88317993322</v>
      </c>
      <c r="JY57" s="103">
        <v>1680.46667492923</v>
      </c>
      <c r="JZ57" s="103">
        <v>1468.90583068224</v>
      </c>
      <c r="KA57" s="103">
        <v>2386.95969480227</v>
      </c>
    </row>
    <row r="58" s="285" customFormat="1" spans="1:287">
      <c r="A58" s="293"/>
      <c r="B58" s="293"/>
      <c r="C58" s="605"/>
      <c r="D58" s="291"/>
      <c r="E58" s="605"/>
      <c r="F58" s="291"/>
      <c r="G58" s="605"/>
      <c r="H58" s="291"/>
      <c r="I58" s="605"/>
      <c r="J58" s="291"/>
      <c r="K58" s="605"/>
      <c r="L58" s="291"/>
      <c r="M58" s="605"/>
      <c r="N58" s="291"/>
      <c r="O58" s="605"/>
      <c r="P58" s="291"/>
      <c r="Q58" s="127"/>
      <c r="R58" s="127"/>
      <c r="S58" s="605"/>
      <c r="T58" s="291"/>
      <c r="U58" s="291"/>
      <c r="V58" s="605"/>
      <c r="W58" s="291"/>
      <c r="X58" s="605"/>
      <c r="Y58" s="291"/>
      <c r="AA58" s="291"/>
      <c r="AC58" s="291"/>
      <c r="AE58" s="291"/>
      <c r="AG58" s="291"/>
      <c r="AI58" s="291"/>
      <c r="AK58" s="291"/>
      <c r="AM58" s="291"/>
      <c r="AO58" s="291"/>
      <c r="AQ58" s="291"/>
      <c r="AS58" s="291"/>
      <c r="AT58" s="127"/>
      <c r="AU58" s="291"/>
      <c r="AV58" s="605"/>
      <c r="AW58" s="606"/>
      <c r="AX58" s="607"/>
      <c r="AY58" s="606"/>
      <c r="AZ58" s="607"/>
      <c r="BA58" s="606"/>
      <c r="BB58" s="607"/>
      <c r="BC58" s="606"/>
      <c r="BD58" s="607"/>
      <c r="BE58" s="606"/>
      <c r="BF58" s="607"/>
      <c r="BG58" s="606"/>
      <c r="BH58" s="607"/>
      <c r="BI58" s="608"/>
      <c r="BJ58" s="607"/>
      <c r="BK58" s="609"/>
      <c r="BL58" s="291"/>
      <c r="BM58" s="610"/>
      <c r="BN58" s="291"/>
      <c r="BO58" s="291"/>
      <c r="BP58" s="291"/>
      <c r="BQ58" s="291"/>
      <c r="BR58" s="291"/>
      <c r="BS58" s="291"/>
      <c r="BT58" s="291"/>
      <c r="BU58" s="605"/>
      <c r="BZ58" s="127"/>
      <c r="CB58" s="611"/>
      <c r="CD58" s="611"/>
      <c r="CF58" s="611"/>
      <c r="CH58" s="611"/>
      <c r="CL58" s="127"/>
      <c r="CN58" s="610"/>
      <c r="CP58" s="610"/>
      <c r="CR58" s="612"/>
      <c r="DH58" s="127"/>
      <c r="DJ58" s="613"/>
      <c r="DK58" s="127"/>
      <c r="DM58" s="613"/>
      <c r="DO58" s="613"/>
      <c r="DQ58" s="613"/>
      <c r="DR58" s="127"/>
      <c r="DT58" s="613"/>
      <c r="DV58" s="613"/>
      <c r="DX58" s="613"/>
      <c r="DZ58" s="613"/>
      <c r="EB58" s="613"/>
      <c r="ED58" s="613"/>
      <c r="EF58" s="613"/>
      <c r="EH58" s="613"/>
      <c r="EJ58" s="127"/>
      <c r="EK58" s="151"/>
      <c r="EL58" s="613"/>
      <c r="EM58" s="291"/>
      <c r="EN58" s="613"/>
      <c r="EO58" s="291"/>
      <c r="EP58" s="613"/>
      <c r="EQ58" s="291"/>
      <c r="ER58" s="613"/>
      <c r="ES58" s="291"/>
      <c r="ET58" s="613"/>
      <c r="EU58" s="291"/>
      <c r="EV58" s="613"/>
      <c r="EW58" s="291"/>
      <c r="EX58" s="613"/>
      <c r="EY58" s="291"/>
      <c r="EZ58" s="613"/>
      <c r="FA58" s="291"/>
      <c r="FB58" s="291"/>
      <c r="FC58" s="291"/>
      <c r="FD58" s="291"/>
      <c r="FE58" s="291"/>
      <c r="FF58" s="291"/>
      <c r="FG58" s="291"/>
      <c r="FH58" s="613"/>
      <c r="FI58" s="291"/>
      <c r="FN58" s="127"/>
      <c r="FO58" s="151"/>
      <c r="FP58" s="614"/>
      <c r="FQ58" s="614"/>
      <c r="FR58" s="614"/>
      <c r="FS58" s="614"/>
      <c r="FT58" s="614"/>
      <c r="FU58" s="614"/>
      <c r="FV58" s="614"/>
      <c r="FW58" s="614"/>
      <c r="FX58" s="614"/>
      <c r="GR58" s="151"/>
      <c r="GS58" s="127"/>
      <c r="GT58" s="415"/>
      <c r="GU58" s="415"/>
      <c r="GV58" s="415"/>
      <c r="GW58" s="415"/>
      <c r="GX58" s="415"/>
      <c r="GY58" s="415"/>
      <c r="GZ58" s="415"/>
      <c r="JL58" s="127"/>
    </row>
    <row r="59" spans="1:287">
      <c r="AW59" s="615"/>
      <c r="AX59" s="615"/>
      <c r="AY59" s="615"/>
      <c r="AZ59" s="615"/>
      <c r="BA59" s="615"/>
      <c r="BB59" s="615"/>
      <c r="BC59" s="615"/>
      <c r="BD59" s="615"/>
      <c r="BE59" s="615"/>
      <c r="BF59" s="615"/>
      <c r="BG59" s="615"/>
      <c r="BH59" s="615"/>
      <c r="BI59" s="615"/>
      <c r="BJ59" s="615"/>
      <c r="BK59" s="615"/>
    </row>
  </sheetData>
  <autoFilter xmlns:etc="http://www.wps.cn/officeDocument/2017/etCustomData" ref="A3:JY57" etc:filterBottomFollowUsedRange="0">
    <filterColumn colId="269">
      <customFilters>
        <customFilter operator="equal" val="0.00"/>
        <customFilter operator="equal" val="#REF!"/>
      </customFilters>
    </filterColumn>
    <extLst/>
  </autoFilter>
  <mergeCells count="241">
    <mergeCell ref="A1:B1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H2:HI2"/>
    <mergeCell ref="HL2:HM2"/>
    <mergeCell ref="HN2:HO2"/>
    <mergeCell ref="HP2:HQ2"/>
    <mergeCell ref="HR2:HS2"/>
    <mergeCell ref="HT2:HU2"/>
    <mergeCell ref="HW2:HX2"/>
    <mergeCell ref="HY2:HZ2"/>
    <mergeCell ref="IA2:IB2"/>
    <mergeCell ref="IC2:ID2"/>
    <mergeCell ref="IE2:IF2"/>
    <mergeCell ref="IG2:IH2"/>
    <mergeCell ref="II2:IJ2"/>
    <mergeCell ref="IK2:IL2"/>
    <mergeCell ref="IN2:IO2"/>
    <mergeCell ref="IP2:IQ2"/>
    <mergeCell ref="IR2:IS2"/>
    <mergeCell ref="IT2:IU2"/>
    <mergeCell ref="IV2:IW2"/>
    <mergeCell ref="IX2:IY2"/>
    <mergeCell ref="IZ2:JA2"/>
    <mergeCell ref="JB2:JC2"/>
    <mergeCell ref="JD2:JE2"/>
    <mergeCell ref="JF2:JG2"/>
    <mergeCell ref="JH2:JI2"/>
    <mergeCell ref="JJ2:JK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H38:GH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40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C43" sqref="C43"/>
    </sheetView>
  </sheetViews>
  <sheetFormatPr defaultColWidth="8.88888888888889" defaultRowHeight="14.4"/>
  <cols>
    <col min="1" max="1" width="7.11111111111111" style="16" customWidth="1"/>
    <col min="2" max="2" width="12.7777777777778" style="16" customWidth="1"/>
    <col min="3" max="3" width="12" style="16" customWidth="1"/>
    <col min="4" max="4" width="10.7777777777778" style="16" customWidth="1"/>
    <col min="5" max="5" width="12" style="16" customWidth="1"/>
    <col min="6" max="6" width="10.7777777777778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7" max="17" width="11.7777777777778" customWidth="1"/>
    <col min="19" max="19" width="13.3333333333333" style="16" customWidth="1"/>
    <col min="20" max="20" width="12.1111111111111" style="16" customWidth="1"/>
    <col min="21" max="21" width="13.6666666666667" style="16" customWidth="1"/>
    <col min="22" max="22" width="12" style="16" customWidth="1"/>
    <col min="23" max="23" width="9.33333333333333" style="16" customWidth="1"/>
    <col min="24" max="24" width="12" style="16" customWidth="1"/>
    <col min="25" max="25" width="10.6666666666667" style="16" customWidth="1"/>
    <col min="26" max="26" width="12" style="16" customWidth="1"/>
    <col min="27" max="27" width="9.44444444444444" style="16" customWidth="1"/>
    <col min="28" max="28" width="13" style="16" customWidth="1"/>
    <col min="29" max="29" width="9.77777777777778" style="16" customWidth="1"/>
    <col min="30" max="30" width="12" style="16" customWidth="1"/>
    <col min="31" max="31" width="9.55555555555556" style="16" customWidth="1"/>
    <col min="32" max="32" width="12" style="16" customWidth="1"/>
    <col min="33" max="33" width="8.88888888888889" style="16" customWidth="1"/>
    <col min="34" max="34" width="11.8888888888889" style="16" customWidth="1"/>
    <col min="35" max="35" width="8.77777777777778" style="16" customWidth="1"/>
    <col min="36" max="36" width="13" style="16" customWidth="1"/>
    <col min="37" max="37" width="8.77777777777778" style="16" customWidth="1"/>
    <col min="38" max="38" width="12" style="16" customWidth="1"/>
    <col min="39" max="39" width="8.77777777777778" style="16" customWidth="1"/>
    <col min="40" max="40" width="11.5555555555556" style="16" customWidth="1"/>
    <col min="41" max="41" width="8.77777777777778" style="16" customWidth="1"/>
    <col min="42" max="42" width="11.5555555555556" style="16" customWidth="1"/>
    <col min="43" max="43" width="8.77777777777778" style="16" customWidth="1"/>
    <col min="44" max="44" width="11.8888888888889" style="16" customWidth="1"/>
    <col min="45" max="45" width="8.77777777777778" style="16" customWidth="1"/>
    <col min="46" max="46" width="13.1111111111111" style="16" customWidth="1"/>
    <col min="47" max="47" width="9.11111111111111" style="16" customWidth="1"/>
    <col min="48" max="48" width="7.77777777777778" style="16" customWidth="1"/>
    <col min="49" max="49" width="12.1111111111111" style="16" customWidth="1"/>
    <col min="50" max="50" width="1.55555555555556" style="16" hidden="1" customWidth="1"/>
    <col min="51" max="51" width="13.1111111111111" style="16" customWidth="1"/>
    <col min="52" max="52" width="9.66666666666667" style="16" hidden="1" customWidth="1"/>
    <col min="53" max="53" width="13.6666666666667" style="16" customWidth="1"/>
    <col min="54" max="54" width="9.66666666666667" style="16" hidden="1" customWidth="1"/>
    <col min="55" max="55" width="13.5555555555556" style="16" customWidth="1"/>
    <col min="56" max="56" width="8.88888888888889" style="16" hidden="1" customWidth="1"/>
    <col min="57" max="57" width="13.8888888888889" style="16" customWidth="1"/>
    <col min="58" max="58" width="8.88888888888889" style="16" hidden="1" customWidth="1"/>
    <col min="59" max="59" width="13" style="16" customWidth="1"/>
    <col min="60" max="60" width="9.66666666666667" style="16" hidden="1" customWidth="1"/>
    <col min="61" max="61" width="13.7777777777778" style="16" customWidth="1"/>
    <col min="62" max="62" width="9.66666666666667" style="16" hidden="1" customWidth="1"/>
    <col min="63" max="63" width="12.4444444444444" style="16" customWidth="1"/>
    <col min="64" max="64" width="9.66666666666667" style="16" hidden="1" customWidth="1"/>
    <col min="65" max="65" width="12.2222222222222" style="16" customWidth="1"/>
    <col min="66" max="66" width="8.88888888888889" style="16" hidden="1" customWidth="1"/>
    <col min="67" max="67" width="12.4444444444444" style="16" customWidth="1"/>
    <col min="68" max="68" width="8.88888888888889" style="16" hidden="1" customWidth="1"/>
    <col min="69" max="69" width="12.3333333333333" style="16" customWidth="1"/>
    <col min="70" max="70" width="8.88888888888889" style="16" hidden="1" customWidth="1"/>
    <col min="71" max="71" width="12.6666666666667" style="16" customWidth="1"/>
    <col min="72" max="72" width="8.88888888888889" style="16" hidden="1" customWidth="1"/>
    <col min="73" max="73" width="13.6666666666667" style="16" customWidth="1"/>
    <col min="74" max="74" width="8.88888888888889" style="16" customWidth="1"/>
  </cols>
  <sheetData>
    <row r="1" ht="21" customHeight="1" spans="1:73">
      <c r="A1" s="257" t="s">
        <v>214</v>
      </c>
      <c r="B1" s="258"/>
      <c r="C1" s="258"/>
      <c r="D1" s="259"/>
      <c r="E1" s="258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175"/>
      <c r="R1" s="127"/>
      <c r="S1" s="260">
        <f>S4-公交!S7-出租!S7-网约车!S7-轨道、轮渡!S4-轨道、轮渡!S13</f>
        <v>8.75388650456443e-12</v>
      </c>
      <c r="T1" s="261">
        <f>S5-公交!S8-出租!S8-网约车!S8-轨道、轮渡!S5-轨道、轮渡!S14</f>
        <v>0</v>
      </c>
      <c r="U1" s="259"/>
      <c r="V1" s="262"/>
      <c r="W1" s="259"/>
      <c r="X1" s="262"/>
      <c r="Y1" s="259"/>
      <c r="Z1" s="262"/>
      <c r="AA1" s="259"/>
      <c r="AB1" s="262"/>
      <c r="AC1" s="259"/>
      <c r="AD1" s="262"/>
      <c r="AE1" s="259"/>
      <c r="AF1" s="263"/>
      <c r="AG1" s="119"/>
      <c r="AH1" s="264"/>
      <c r="AI1" s="119"/>
      <c r="AJ1" s="264"/>
      <c r="AK1" s="119"/>
      <c r="AL1" s="264"/>
      <c r="AM1" s="119"/>
      <c r="AN1" s="264"/>
      <c r="AO1" s="119"/>
      <c r="AP1" s="264"/>
      <c r="AQ1" s="119"/>
      <c r="AR1" s="264"/>
      <c r="AS1" s="119"/>
      <c r="AT1" s="265"/>
      <c r="AU1" s="119"/>
      <c r="AV1" s="266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</row>
    <row r="2" s="254" customFormat="1" ht="24" customHeight="1" spans="1:73">
      <c r="A2" s="267" t="s">
        <v>1</v>
      </c>
      <c r="B2" s="268" t="s">
        <v>2</v>
      </c>
      <c r="C2" s="269" t="s">
        <v>151</v>
      </c>
      <c r="D2" s="270" t="s">
        <v>215</v>
      </c>
      <c r="E2" s="269" t="s">
        <v>197</v>
      </c>
      <c r="F2" s="270" t="s">
        <v>216</v>
      </c>
      <c r="G2" s="271">
        <v>46082</v>
      </c>
      <c r="H2" s="271" t="s">
        <v>217</v>
      </c>
      <c r="I2" s="271">
        <v>46113</v>
      </c>
      <c r="J2" s="271" t="s">
        <v>218</v>
      </c>
      <c r="K2" s="271">
        <v>46143</v>
      </c>
      <c r="L2" s="271" t="s">
        <v>219</v>
      </c>
      <c r="M2" s="271">
        <v>46174</v>
      </c>
      <c r="N2" s="271" t="s">
        <v>220</v>
      </c>
      <c r="O2" s="271">
        <v>46204</v>
      </c>
      <c r="P2" s="271" t="s">
        <v>221</v>
      </c>
      <c r="Q2" s="271">
        <v>46235</v>
      </c>
      <c r="R2" s="271" t="s">
        <v>222</v>
      </c>
      <c r="S2" s="272" t="s">
        <v>51</v>
      </c>
      <c r="T2" s="273" t="s">
        <v>44</v>
      </c>
      <c r="U2" s="270"/>
      <c r="V2" s="274" t="s">
        <v>13</v>
      </c>
      <c r="W2" s="270" t="s">
        <v>215</v>
      </c>
      <c r="X2" s="274" t="s">
        <v>14</v>
      </c>
      <c r="Y2" s="270" t="s">
        <v>216</v>
      </c>
      <c r="Z2" s="274" t="s">
        <v>15</v>
      </c>
      <c r="AA2" s="270" t="s">
        <v>217</v>
      </c>
      <c r="AB2" s="274" t="s">
        <v>16</v>
      </c>
      <c r="AC2" s="270" t="s">
        <v>218</v>
      </c>
      <c r="AD2" s="271">
        <v>45778</v>
      </c>
      <c r="AE2" s="270" t="s">
        <v>219</v>
      </c>
      <c r="AF2" s="271">
        <v>45809</v>
      </c>
      <c r="AG2" s="270" t="s">
        <v>220</v>
      </c>
      <c r="AH2" s="271">
        <v>45839</v>
      </c>
      <c r="AI2" s="270" t="s">
        <v>221</v>
      </c>
      <c r="AJ2" s="271">
        <v>45870</v>
      </c>
      <c r="AK2" s="270" t="s">
        <v>222</v>
      </c>
      <c r="AL2" s="271">
        <v>45901</v>
      </c>
      <c r="AM2" s="270" t="s">
        <v>223</v>
      </c>
      <c r="AN2" s="271">
        <v>45931</v>
      </c>
      <c r="AO2" s="270" t="s">
        <v>224</v>
      </c>
      <c r="AP2" s="271">
        <v>45962</v>
      </c>
      <c r="AQ2" s="270" t="s">
        <v>225</v>
      </c>
      <c r="AR2" s="271">
        <v>45992</v>
      </c>
      <c r="AS2" s="270" t="s">
        <v>226</v>
      </c>
      <c r="AT2" s="274" t="s">
        <v>51</v>
      </c>
      <c r="AU2" s="270" t="s">
        <v>44</v>
      </c>
      <c r="AV2" s="270"/>
      <c r="AW2" s="269" t="s">
        <v>31</v>
      </c>
      <c r="AX2" s="270" t="s">
        <v>3</v>
      </c>
      <c r="AY2" s="269" t="s">
        <v>32</v>
      </c>
      <c r="AZ2" s="270" t="s">
        <v>4</v>
      </c>
      <c r="BA2" s="269" t="s">
        <v>33</v>
      </c>
      <c r="BB2" s="270" t="s">
        <v>5</v>
      </c>
      <c r="BC2" s="269" t="s">
        <v>34</v>
      </c>
      <c r="BD2" s="270" t="s">
        <v>6</v>
      </c>
      <c r="BE2" s="269" t="s">
        <v>35</v>
      </c>
      <c r="BF2" s="270" t="s">
        <v>7</v>
      </c>
      <c r="BG2" s="269" t="s">
        <v>36</v>
      </c>
      <c r="BH2" s="270" t="s">
        <v>8</v>
      </c>
      <c r="BI2" s="269" t="s">
        <v>37</v>
      </c>
      <c r="BJ2" s="270" t="s">
        <v>9</v>
      </c>
      <c r="BK2" s="269" t="s">
        <v>38</v>
      </c>
      <c r="BL2" s="270" t="s">
        <v>10</v>
      </c>
      <c r="BM2" s="269" t="s">
        <v>39</v>
      </c>
      <c r="BN2" s="270" t="s">
        <v>22</v>
      </c>
      <c r="BO2" s="269" t="s">
        <v>40</v>
      </c>
      <c r="BP2" s="270" t="s">
        <v>24</v>
      </c>
      <c r="BQ2" s="269" t="s">
        <v>41</v>
      </c>
      <c r="BR2" s="270" t="s">
        <v>26</v>
      </c>
      <c r="BS2" s="269" t="s">
        <v>42</v>
      </c>
      <c r="BT2" s="270" t="s">
        <v>28</v>
      </c>
      <c r="BU2" s="270" t="s">
        <v>51</v>
      </c>
    </row>
    <row r="3" s="255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75"/>
      <c r="R3" s="29"/>
      <c r="S3" s="29"/>
      <c r="T3" s="55"/>
      <c r="U3" s="2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70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</row>
    <row r="4" s="256" customFormat="1" ht="31.2" customHeight="1" spans="1:73">
      <c r="A4" s="276" t="s">
        <v>80</v>
      </c>
      <c r="B4" s="277" t="s">
        <v>193</v>
      </c>
      <c r="C4" s="94">
        <f>C6+C8+C10+C12+C14+C16+C18+C20+C22+C24+C26+C28+C30+C32+C34+C36+C38</f>
        <v>34145.77</v>
      </c>
      <c r="D4" s="245">
        <f t="shared" ref="D4:D39" si="0">C4/V4-1</f>
        <v>0.00964231762166845</v>
      </c>
      <c r="E4" s="94">
        <f>E6+E8+E10+E12+E14+E16+E18+E20+E22+E24+E26+E28+E30+E32+E34+E36+E38</f>
        <v>28630.47</v>
      </c>
      <c r="F4" s="245">
        <f t="shared" ref="F4:F39" si="1">E4/X4-1</f>
        <v>-0.0936839386209659</v>
      </c>
      <c r="G4" s="94">
        <f>G6+G8+G10+G12+G14+G16+G18+G20+G22+G24+G26+G28+G30+G32+G34+G36+G38</f>
        <v>35750.91</v>
      </c>
      <c r="H4" s="245">
        <f t="shared" ref="H4:H39" si="2">G4/Z4-1</f>
        <v>-0.0149758434140758</v>
      </c>
      <c r="I4" s="94">
        <f>I6+I8+I10+I12+I14+I16+I18+I20+I22+I24+I26+I28+I30+I32+I34+I36+I38</f>
        <v>35892.74</v>
      </c>
      <c r="J4" s="245">
        <f t="shared" ref="J4:J39" si="3">I4/AB4-1</f>
        <v>-0.00602625009173208</v>
      </c>
      <c r="K4" s="94">
        <f>K6+K8+K10+K12+K14+K16+K18+K20+K22+K24+K26+K28+K30+K32+K34+K36+K38</f>
        <v>35527.46</v>
      </c>
      <c r="L4" s="245">
        <f t="shared" ref="L4:L39" si="4">K4/AD4-1</f>
        <v>-0.000915073115860698</v>
      </c>
      <c r="M4" s="94">
        <f>M6+M8+M10+M12+M14+M16+M18+M20+M22+M24+M26+M28+M30+M32+M34+M36+M38</f>
        <v>34396.95</v>
      </c>
      <c r="N4" s="245">
        <f t="shared" ref="N4:N39" si="5">M4/AF4-1</f>
        <v>0.0340201760034347</v>
      </c>
      <c r="O4" s="94">
        <f>O6+O8+O10+O12+O14+O16+O18+O20+O22+O24+O26+O28+O30+O32+O34+O36+O38</f>
        <v>33068.03</v>
      </c>
      <c r="P4" s="245">
        <f t="shared" ref="P4:P39" si="6">O4/AH4-1</f>
        <v>0.0390093161359242</v>
      </c>
      <c r="Q4" s="175"/>
      <c r="R4" s="127"/>
      <c r="S4" s="278">
        <f t="shared" ref="S4:S39" si="7">E4+C4+G4+I4+K4+M4+O4+Q4</f>
        <v>237412.33</v>
      </c>
      <c r="T4" s="279">
        <f t="shared" ref="T4:T39" si="8">S4/(V4+X4+Z4+AB4+AD4+AF4+AH4+AJ4)-1</f>
        <v>-0.118450322094245</v>
      </c>
      <c r="U4" s="94"/>
      <c r="V4" s="94">
        <f>V6+V8+V10+V12+V14+V16+V18+V20+V22+V24+V26+V28+V30+V32+V34+V36+V38</f>
        <v>33819.67</v>
      </c>
      <c r="W4" s="245">
        <f t="shared" ref="W4:W39" si="9">V4/AW4-1</f>
        <v>-0.0957261547585407</v>
      </c>
      <c r="X4" s="94">
        <f>X6+X8+X10+X12+X14+X16+X18+X20+X22+X24+X26+X28+X30+X32+X34+X36+X38</f>
        <v>31589.94</v>
      </c>
      <c r="Y4" s="245">
        <f t="shared" ref="Y4:Y39" si="10">X4/AY4-1</f>
        <v>0.0201801643529833</v>
      </c>
      <c r="Z4" s="94">
        <f>Z6+Z8+Z10+Z12+Z14+Z16+Z18+Z20+Z22+Z24+Z26+Z28+Z30+Z32+Z34+Z36+Z38</f>
        <v>36294.45</v>
      </c>
      <c r="AA4" s="245">
        <f t="shared" ref="AA4:AA39" si="11">Z4/BA4-1</f>
        <v>-0.0587189825763768</v>
      </c>
      <c r="AB4" s="94">
        <f>AB6+AB8+AB10+AB12+AB14+AB16+AB18+AB20+AB22+AB24+AB26+AB28+AB30+AB32+AB34+AB36+AB38</f>
        <v>36110.35</v>
      </c>
      <c r="AC4" s="245">
        <f t="shared" ref="AC4:AC39" si="12">AB4/BC4-1</f>
        <v>-0.0553670900513409</v>
      </c>
      <c r="AD4" s="94">
        <f>AD6+AD8+AD10+AD12+AD14+AD16+AD18+AD20+AD22+AD24+AD26+AD28+AD30+AD32+AD34+AD36+AD38</f>
        <v>35560</v>
      </c>
      <c r="AE4" s="245">
        <f t="shared" ref="AE4:AE39" si="13">AD4/BE4-1</f>
        <v>-0.0557655919494721</v>
      </c>
      <c r="AF4" s="94">
        <f>AF6+AF8+AF10+AF12+AF14+AF16+AF18+AF20+AF22+AF24+AF26+AF28+AF30+AF32+AF34+AF36+AF38</f>
        <v>33265.26</v>
      </c>
      <c r="AG4" s="245">
        <f t="shared" ref="AG4:AG39" si="14">AF4/BG4-1</f>
        <v>-0.0791279397292356</v>
      </c>
      <c r="AH4" s="94">
        <f>AH6+AH8+AH10+AH12+AH14+AH16+AH18+AH20+AH22+AH24+AH26+AH28+AH30+AH32+AH34+AH36+AH38</f>
        <v>31826.5</v>
      </c>
      <c r="AI4" s="245">
        <f t="shared" ref="AI4:AI39" si="15">AH4/BI4-1</f>
        <v>-0.106116961294793</v>
      </c>
      <c r="AJ4" s="94">
        <f>AJ6+AJ8+AJ10+AJ12+AJ14+AJ16+AJ18+AJ20+AJ22+AJ24+AJ26+AJ28+AJ30+AJ32+AJ34+AJ36+AJ38</f>
        <v>30846.31</v>
      </c>
      <c r="AK4" s="245">
        <f t="shared" ref="AK4:AK39" si="16">AJ4/BK4-1</f>
        <v>-0.0935748366256024</v>
      </c>
      <c r="AL4" s="94">
        <f>AL6+AL8+AL10+AL12+AL14+AL16+AL18+AL20+AL22+AL24+AL26+AL28+AL30+AL32+AL34+AL36+AL38</f>
        <v>32721.63</v>
      </c>
      <c r="AM4" s="245">
        <f t="shared" ref="AM4:AM39" si="17">AL4/BM4-1</f>
        <v>-0.0668593882472915</v>
      </c>
      <c r="AN4" s="94">
        <f>AN6+AN8+AN10+AN12+AN14+AN16+AN18+AN20+AN22+AN24+AN26+AN28+AN30+AN32+AN34+AN36+AN38</f>
        <v>34683.25</v>
      </c>
      <c r="AO4" s="245">
        <f t="shared" ref="AO4:AO39" si="18">AN4/BO4-1</f>
        <v>-0.0611848209867786</v>
      </c>
      <c r="AP4" s="94">
        <f>AP6+AP8+AP10+AP12+AP14+AP16+AP18+AP20+AP22+AP24+AP26+AP28+AP30+AP32+AP34+AP36+AP38</f>
        <v>34912.09</v>
      </c>
      <c r="AQ4" s="245">
        <f t="shared" ref="AQ4:AQ39" si="19">AP4/BQ4-1</f>
        <v>-0.0381398390971235</v>
      </c>
      <c r="AR4" s="94">
        <f>AR6+AR8+AR10+AR12+AR14+AR16+AR18+AR20+AR22+AR24+AR26+AR28+AR30+AR32+AR34+AR36+AR38</f>
        <v>34505.39</v>
      </c>
      <c r="AS4" s="245">
        <f t="shared" ref="AS4:AS39" si="20">AR4/BS4-1</f>
        <v>-0.0848893751035973</v>
      </c>
      <c r="AT4" s="94">
        <f>V4+X4+Z4+AB4+AD4+AF4+AH4+AJ4+AL4+AN4+AP4+AR4</f>
        <v>406134.84</v>
      </c>
      <c r="AU4" s="245">
        <f t="shared" ref="AU4:AU39" si="21">AT4/SUM(AW4,AY4,BA4,BC4,BE4,BG4,BI4,BK4,BM4,BO4,BQ4,BS4)-1</f>
        <v>-0.065458756648112</v>
      </c>
      <c r="AV4" s="280"/>
      <c r="AW4" s="94">
        <f>AW6+AW8+AW10+AW12+AW14+AW16+AW18+AW20+AW22+AW24+AW26+AW28+AW30+AW32+AW34+AW36+AW38</f>
        <v>37399.81</v>
      </c>
      <c r="AX4" s="281"/>
      <c r="AY4" s="94">
        <f>AY6+AY8+AY10+AY12+AY14+AY16+AY18+AY20+AY22+AY24+AY26+AY28+AY30+AY32+AY34+AY36+AY38</f>
        <v>30965.06</v>
      </c>
      <c r="AZ4" s="281"/>
      <c r="BA4" s="94">
        <f>BA6+BA8+BA10+BA12+BA14+BA16+BA18+BA20+BA22+BA24+BA26+BA28+BA30+BA32+BA34+BA36+BA38</f>
        <v>38558.57</v>
      </c>
      <c r="BB4" s="281"/>
      <c r="BC4" s="94">
        <f>BC6+BC8+BC10+BC12+BC14+BC16+BC18+BC20+BC22+BC24+BC26+BC28+BC30+BC32+BC34+BC36+BC38</f>
        <v>38226.86</v>
      </c>
      <c r="BD4" s="281"/>
      <c r="BE4" s="94">
        <f>BE6+BE8+BE10+BE12+BE14+BE16+BE18+BE20+BE22+BE24+BE26+BE28+BE30+BE32+BE34+BE36+BE38</f>
        <v>37660.14</v>
      </c>
      <c r="BF4" s="281"/>
      <c r="BG4" s="94">
        <f>BG6+BG8+BG10+BG12+BG14+BG16+BG18+BG20+BG22+BG24+BG26+BG28+BG30+BG32+BG34+BG36+BG38</f>
        <v>36123.65</v>
      </c>
      <c r="BH4" s="281"/>
      <c r="BI4" s="94">
        <f>BI6+BI8+BI10+BI12+BI14+BI16+BI18+BI20+BI22+BI24+BI26+BI28+BI30+BI32+BI34+BI36+BI38</f>
        <v>35604.77</v>
      </c>
      <c r="BJ4" s="281"/>
      <c r="BK4" s="94">
        <f>BK6+BK8+BK10+BK12+BK14+BK16+BK18+BK20+BK22+BK24+BK26+BK28+BK30+BK32+BK34+BK36+BK38</f>
        <v>34030.73</v>
      </c>
      <c r="BL4" s="281"/>
      <c r="BM4" s="94">
        <f>BM6+BM8+BM10+BM12+BM14+BM16+BM18+BM20+BM22+BM24+BM26+BM28+BM30+BM32+BM34+BM36+BM38</f>
        <v>35066.13</v>
      </c>
      <c r="BN4" s="281"/>
      <c r="BO4" s="94">
        <f>BO6+BO8+BO10+BO12+BO14+BO16+BO18+BO20+BO22+BO24+BO26+BO28+BO30+BO32+BO34+BO36+BO38</f>
        <v>36943.64</v>
      </c>
      <c r="BP4" s="281"/>
      <c r="BQ4" s="94">
        <f>BQ6+BQ8+BQ10+BQ12+BQ14+BQ16+BQ18+BQ20+BQ22+BQ24+BQ26+BQ28+BQ30+BQ32+BQ34+BQ36+BQ38</f>
        <v>36296.43</v>
      </c>
      <c r="BR4" s="281"/>
      <c r="BS4" s="94">
        <f>BS6+BS8+BS10+BS12+BS14+BS16+BS18+BS20+BS22+BS24+BS26+BS28+BS30+BS32+BS34+BS36+BS38</f>
        <v>37706.25</v>
      </c>
      <c r="BT4" s="281"/>
      <c r="BU4" s="282">
        <f t="shared" ref="BU4:BU39" si="22">BS4+BQ4+BO4+BM4+BK4+BI4+BG4+BE4+BC4+BA4+AY4+AW4</f>
        <v>434582.04</v>
      </c>
    </row>
    <row r="5" s="256" customFormat="1" ht="31.2" customHeight="1" spans="1:73">
      <c r="A5" s="29"/>
      <c r="B5" s="277" t="s">
        <v>194</v>
      </c>
      <c r="C5" s="94">
        <f>C7+C9+C11+C13+C15+C17+C19+C21+C23+C25+C27+C29+C31+C33+C35+C37+C39</f>
        <v>209926.37</v>
      </c>
      <c r="D5" s="245">
        <f t="shared" si="0"/>
        <v>0.017845896736868</v>
      </c>
      <c r="E5" s="94">
        <f>E7+E9+E11+E13+E15+E17+E19+E21+E23+E25+E27+E29+E31+E33+E35+E37+E39</f>
        <v>174546.3</v>
      </c>
      <c r="F5" s="245">
        <f t="shared" si="1"/>
        <v>-0.106324957271136</v>
      </c>
      <c r="G5" s="94">
        <f>G7+G9+G11+G13+G15+G17+G19+G21+G23+G25+G27+G29+G31+G33+G35+G37+G39</f>
        <v>223975.86</v>
      </c>
      <c r="H5" s="245">
        <f t="shared" si="2"/>
        <v>-0.00449191435858742</v>
      </c>
      <c r="I5" s="94">
        <f>I7+I9+I11+I13+I15+I17+I19+I21+I23+I25+I27+I29+I31+I33+I35+I37+I39</f>
        <v>226248.96</v>
      </c>
      <c r="J5" s="245">
        <f t="shared" si="3"/>
        <v>0.00557810628838307</v>
      </c>
      <c r="K5" s="94">
        <f>K7+K9+K11+K13+K15+K17+K19+K21+K23+K25+K27+K29+K31+K33+K35+K37+K39</f>
        <v>224048.9</v>
      </c>
      <c r="L5" s="245">
        <f t="shared" si="4"/>
        <v>0.0124547686266263</v>
      </c>
      <c r="M5" s="94">
        <f>M7+M9+M11+M13+M15+M17+M19+M21+M23+M25+M27+M29+M31+M33+M35+M37+M39</f>
        <v>214713.89</v>
      </c>
      <c r="N5" s="245">
        <f t="shared" si="5"/>
        <v>0.0512264208447604</v>
      </c>
      <c r="O5" s="94">
        <f>O7+O9+O11+O13+O15+O17+O19+O21+O23+O25+O27+O29+O31+O33+O35+O37+O39</f>
        <v>206194.82</v>
      </c>
      <c r="P5" s="245">
        <f t="shared" si="6"/>
        <v>0.0431576071144126</v>
      </c>
      <c r="Q5" s="175"/>
      <c r="R5" s="127"/>
      <c r="S5" s="278">
        <f t="shared" si="7"/>
        <v>1479655.1</v>
      </c>
      <c r="T5" s="279">
        <f t="shared" si="8"/>
        <v>-0.112669691629119</v>
      </c>
      <c r="U5" s="94"/>
      <c r="V5" s="94">
        <f>V7+V9+V11+V13+V15+V17+V19+V21+V23+V25+V27+V29+V31+V33+V35+V37+V39</f>
        <v>206245.73</v>
      </c>
      <c r="W5" s="245">
        <f t="shared" si="9"/>
        <v>-0.0796155091723733</v>
      </c>
      <c r="X5" s="94">
        <f>X7+X9+X11+X13+X15+X17+X19+X21+X23+X25+X27+X29+X31+X33+X35+X37+X39</f>
        <v>195312.94</v>
      </c>
      <c r="Y5" s="245">
        <f t="shared" si="10"/>
        <v>0.254904775229191</v>
      </c>
      <c r="Z5" s="94">
        <f>Z7+Z9+Z11+Z13+Z15+Z17+Z19+Z21+Z23+Z25+Z27+Z29+Z31+Z33+Z35+Z37+Z39</f>
        <v>224986.48</v>
      </c>
      <c r="AA5" s="245">
        <f t="shared" si="11"/>
        <v>-0.0466343322098481</v>
      </c>
      <c r="AB5" s="94">
        <f>AB7+AB9+AB11+AB13+AB15+AB17+AB19+AB21+AB23+AB25+AB27+AB29+AB31+AB33+AB35+AB37+AB39</f>
        <v>224993.92</v>
      </c>
      <c r="AC5" s="245">
        <f t="shared" si="12"/>
        <v>-0.0544948825989197</v>
      </c>
      <c r="AD5" s="94">
        <f>AD7+AD9+AD11+AD13+AD15+AD17+AD19+AD21+AD23+AD25+AD27+AD29+AD31+AD33+AD35+AD37+AD39</f>
        <v>221292.75</v>
      </c>
      <c r="AE5" s="245">
        <f t="shared" si="13"/>
        <v>-0.0475814296137677</v>
      </c>
      <c r="AF5" s="94">
        <f>AF7+AF9+AF11+AF13+AF15+AF17+AF19+AF21+AF23+AF25+AF27+AF29+AF31+AF33+AF35+AF37+AF39</f>
        <v>204250.85</v>
      </c>
      <c r="AG5" s="245">
        <f t="shared" si="14"/>
        <v>-0.0958563167840687</v>
      </c>
      <c r="AH5" s="94">
        <f>AH7+AH9+AH11+AH13+AH15+AH17+AH19+AH21+AH23+AH25+AH27+AH29+AH31+AH33+AH35+AH37+AH39</f>
        <v>197664.11</v>
      </c>
      <c r="AI5" s="245">
        <f t="shared" si="15"/>
        <v>-0.108193311480628</v>
      </c>
      <c r="AJ5" s="94">
        <f>AJ7+AJ9+AJ11+AJ13+AJ15+AJ17+AJ19+AJ21+AJ23+AJ25+AJ27+AJ29+AJ31+AJ33+AJ35+AJ37+AJ39</f>
        <v>192789.07</v>
      </c>
      <c r="AK5" s="245">
        <f t="shared" si="16"/>
        <v>-0.0927110352358687</v>
      </c>
      <c r="AL5" s="94">
        <f>AL7+AL9+AL11+AL13+AL15+AL17+AL19+AL21+AL23+AL25+AL27+AL29+AL31+AL33+AL35+AL37+AL39</f>
        <v>204888.58</v>
      </c>
      <c r="AM5" s="245">
        <f t="shared" si="17"/>
        <v>-0.06806607975361</v>
      </c>
      <c r="AN5" s="94">
        <f>AN7+AN9+AN11+AN13+AN15+AN17+AN19+AN21+AN23+AN25+AN27+AN29+AN31+AN33+AN35+AN37+AN39</f>
        <v>218523.55</v>
      </c>
      <c r="AO5" s="245">
        <f t="shared" si="18"/>
        <v>-0.0985230779004576</v>
      </c>
      <c r="AP5" s="94">
        <f>AP7+AP9+AP11+AP13+AP15+AP17+AP19+AP21+AP23+AP25+AP27+AP29+AP31+AP33+AP35+AP37+AP39</f>
        <v>217771.11</v>
      </c>
      <c r="AQ5" s="245">
        <f t="shared" si="19"/>
        <v>-0.0304208634094491</v>
      </c>
      <c r="AR5" s="94">
        <f>AR7+AR9+AR11+AR13+AR15+AR17+AR19+AR21+AR23+AR25+AR27+AR29+AR31+AR33+AR35+AR37+AR39</f>
        <v>214919.66</v>
      </c>
      <c r="AS5" s="245">
        <f t="shared" si="20"/>
        <v>-0.0708784030288757</v>
      </c>
      <c r="AT5" s="94">
        <f>V5+X5+Z5+AB5+AD5+AF5+AH5+AJ5+AL5+AN5+AP5+AQ5+AR5</f>
        <v>2523638.71957914</v>
      </c>
      <c r="AU5" s="245">
        <f t="shared" si="21"/>
        <v>-0.0527751750508741</v>
      </c>
      <c r="AV5" s="280"/>
      <c r="AW5" s="94">
        <f>AW7+AW9+AW11+AW13+AW15+AW17+AW19+AW21+AW23+AW25+AW27+AW29+AW31+AW33+AW35+AW37+AW39</f>
        <v>224086.49</v>
      </c>
      <c r="AX5" s="281"/>
      <c r="AY5" s="94">
        <f>AY7+AY9+AY11+AY13+AY15+AY17+AY19+AY21+AY23+AY25+AY27+AY29+AY31+AY33+AY35+AY37+AY39</f>
        <v>155639.65</v>
      </c>
      <c r="AZ5" s="281"/>
      <c r="BA5" s="94">
        <f>BA7+BA9+BA11+BA13+BA15+BA17+BA19+BA21+BA23+BA25+BA27+BA29+BA31+BA33+BA35+BA37+BA39</f>
        <v>235991.8</v>
      </c>
      <c r="BB5" s="281"/>
      <c r="BC5" s="94">
        <f>BC7+BC9+BC11+BC13+BC15+BC17+BC19+BC21+BC23+BC25+BC27+BC29+BC31+BC33+BC35+BC37+BC39</f>
        <v>237961.61</v>
      </c>
      <c r="BD5" s="281"/>
      <c r="BE5" s="94">
        <f>BE7+BE9+BE11+BE13+BE15+BE17+BE19+BE21+BE23+BE25+BE27+BE29+BE31+BE33+BE35+BE37+BE39</f>
        <v>232348.21</v>
      </c>
      <c r="BF5" s="281"/>
      <c r="BG5" s="94">
        <f>BG7+BG9+BG11+BG13+BG15+BG17+BG19+BG21+BG23+BG25+BG27+BG29+BG31+BG33+BG35+BG37+BG39</f>
        <v>225905.3</v>
      </c>
      <c r="BH5" s="281"/>
      <c r="BI5" s="94">
        <f>BI7+BI9+BI11+BI13+BI15+BI17+BI19+BI21+BI23+BI25+BI27+BI29+BI31+BI33+BI35+BI37+BI39</f>
        <v>221644.57</v>
      </c>
      <c r="BJ5" s="281"/>
      <c r="BK5" s="94">
        <f>BK7+BK9+BK11+BK13+BK15+BK17+BK19+BK21+BK23+BK25+BK27+BK29+BK31+BK33+BK35+BK37+BK39</f>
        <v>212489.16</v>
      </c>
      <c r="BL5" s="281"/>
      <c r="BM5" s="94">
        <f>BM7+BM9+BM11+BM13+BM15+BM17+BM19+BM21+BM23+BM25+BM27+BM29+BM31+BM33+BM35+BM37+BM39</f>
        <v>219853.12</v>
      </c>
      <c r="BN5" s="281"/>
      <c r="BO5" s="94">
        <f>BO7+BO9+BO11+BO13+BO15+BO17+BO19+BO21+BO23+BO25+BO27+BO29+BO31+BO33+BO35+BO37+BO39</f>
        <v>242406.15</v>
      </c>
      <c r="BP5" s="281"/>
      <c r="BQ5" s="94">
        <f>BQ7+BQ9+BQ11+BQ13+BQ15+BQ17+BQ19+BQ21+BQ23+BQ25+BQ27+BQ29+BQ31+BQ33+BQ35+BQ37+BQ39</f>
        <v>224603.75</v>
      </c>
      <c r="BR5" s="281"/>
      <c r="BS5" s="94">
        <f>BS7+BS9+BS11+BS13+BS15+BS17+BS19+BS21+BS23+BS25+BS27+BS29+BS31+BS33+BS35+BS37+BS39</f>
        <v>231314.89</v>
      </c>
      <c r="BT5" s="281"/>
      <c r="BU5" s="282">
        <f t="shared" si="22"/>
        <v>2664244.7</v>
      </c>
    </row>
    <row r="6" s="256" customFormat="1" ht="31.2" customHeight="1" spans="1:73">
      <c r="A6" s="283" t="s">
        <v>87</v>
      </c>
      <c r="B6" s="277" t="s">
        <v>193</v>
      </c>
      <c r="C6" s="94">
        <f>公交!C11+出租!C11+网约车!C11+轨道、轮渡!C6+轨道、轮渡!C15</f>
        <v>19615.189904809</v>
      </c>
      <c r="D6" s="245">
        <f t="shared" si="0"/>
        <v>0.0640464067310815</v>
      </c>
      <c r="E6" s="94">
        <f>公交!E11+出租!E11+网约车!E11+轨道、轮渡!E6+轨道、轮渡!E15</f>
        <v>14935.1072054671</v>
      </c>
      <c r="F6" s="245">
        <f t="shared" si="1"/>
        <v>-0.158346887082426</v>
      </c>
      <c r="G6" s="94">
        <f>公交!G11+出租!G11+网约车!G11+轨道、轮渡!G6+轨道、轮渡!G15</f>
        <v>21116.4046839924</v>
      </c>
      <c r="H6" s="245">
        <f t="shared" si="2"/>
        <v>-0.0435962111930942</v>
      </c>
      <c r="I6" s="94">
        <f>公交!I11+出租!I11+网约车!I11+轨道、轮渡!I6+轨道、轮渡!I15</f>
        <v>20953.6245364684</v>
      </c>
      <c r="J6" s="245">
        <f t="shared" si="3"/>
        <v>-0.036017939536222</v>
      </c>
      <c r="K6" s="94">
        <f>公交!K11+出租!K11+网约车!K11+轨道、轮渡!K6+轨道、轮渡!K15</f>
        <v>20457.6322106116</v>
      </c>
      <c r="L6" s="245">
        <f t="shared" si="4"/>
        <v>-0.0270888376873569</v>
      </c>
      <c r="M6" s="94">
        <f>公交!M11+出租!M11+网约车!M11+轨道、轮渡!M6+轨道、轮渡!M15</f>
        <v>19531.5938174939</v>
      </c>
      <c r="N6" s="245">
        <f t="shared" si="5"/>
        <v>0.0188407023527666</v>
      </c>
      <c r="O6" s="94">
        <f>公交!O11+出租!O11+网约车!O11+轨道、轮渡!O6+轨道、轮渡!O15</f>
        <v>18865.2275355819</v>
      </c>
      <c r="P6" s="245">
        <f t="shared" si="6"/>
        <v>0.014768056245404</v>
      </c>
      <c r="Q6" s="175"/>
      <c r="R6" s="127"/>
      <c r="S6" s="278">
        <f t="shared" si="7"/>
        <v>135474.779894424</v>
      </c>
      <c r="T6" s="279">
        <f t="shared" si="8"/>
        <v>-0.134968782278041</v>
      </c>
      <c r="U6" s="94"/>
      <c r="V6" s="94">
        <f>公交!V11+出租!V11+网约车!V11+轨道、轮渡!V6+轨道、轮渡!V15</f>
        <v>18434.5248296735</v>
      </c>
      <c r="W6" s="245">
        <f t="shared" si="9"/>
        <v>-0.118700864828406</v>
      </c>
      <c r="X6" s="94">
        <f>公交!X11+出租!X11+网约车!X11+轨道、轮渡!X6+轨道、轮渡!X15</f>
        <v>17744.9675837291</v>
      </c>
      <c r="Y6" s="245">
        <f t="shared" si="10"/>
        <v>0.0915383733819533</v>
      </c>
      <c r="Z6" s="94">
        <f>公交!Z11+出租!Z11+网约车!Z11+轨道、轮渡!Z6+轨道、轮渡!Z15</f>
        <v>22078.963855146</v>
      </c>
      <c r="AA6" s="245">
        <f t="shared" si="11"/>
        <v>-0.0484702863261718</v>
      </c>
      <c r="AB6" s="94">
        <f>公交!AB11+出租!AB11+网约车!AB11+轨道、轮渡!AB6+轨道、轮渡!AB15</f>
        <v>21736.5295432858</v>
      </c>
      <c r="AC6" s="245">
        <f t="shared" si="12"/>
        <v>-0.0435564658592575</v>
      </c>
      <c r="AD6" s="94">
        <f>公交!AD11+出租!AD11+网约车!AD11+轨道、轮渡!AD6+轨道、轮渡!AD15</f>
        <v>21027.2355823147</v>
      </c>
      <c r="AE6" s="245">
        <f t="shared" si="13"/>
        <v>-0.059009567365631</v>
      </c>
      <c r="AF6" s="94">
        <f>公交!AF11+出租!AF11+网约车!AF11+轨道、轮渡!AF6+轨道、轮渡!AF15</f>
        <v>19170.4098318711</v>
      </c>
      <c r="AG6" s="245">
        <f t="shared" si="14"/>
        <v>-0.0734870983914716</v>
      </c>
      <c r="AH6" s="94">
        <f>公交!AH11+出租!AH11+网约车!AH11+轨道、轮渡!AH6+轨道、轮渡!AH15</f>
        <v>18590.6793374856</v>
      </c>
      <c r="AI6" s="245">
        <f t="shared" si="15"/>
        <v>-0.0902893724654978</v>
      </c>
      <c r="AJ6" s="94">
        <f>公交!AJ11+出租!AJ11+网约车!AJ11+轨道、轮渡!AJ6+轨道、轮渡!AJ15</f>
        <v>17829.279963798</v>
      </c>
      <c r="AK6" s="245">
        <f t="shared" si="16"/>
        <v>-0.0646735740065709</v>
      </c>
      <c r="AL6" s="94">
        <f>公交!AL11+出租!AL11+网约车!AL11+轨道、轮渡!AL6+轨道、轮渡!AL15</f>
        <v>19302.885114729</v>
      </c>
      <c r="AM6" s="245">
        <f t="shared" si="17"/>
        <v>-0.0469600666593234</v>
      </c>
      <c r="AN6" s="94">
        <f>公交!AN11+出租!AN11+网约车!AN11+轨道、轮渡!AN6+轨道、轮渡!AN15</f>
        <v>20311.7490861315</v>
      </c>
      <c r="AO6" s="245">
        <f t="shared" si="18"/>
        <v>-0.0618550605258726</v>
      </c>
      <c r="AP6" s="94">
        <f>公交!AP11+出租!AP11+网约车!AP11+轨道、轮渡!AP6+轨道、轮渡!AP15</f>
        <v>20478.7521781458</v>
      </c>
      <c r="AQ6" s="245">
        <f t="shared" si="19"/>
        <v>-0.0227200053609083</v>
      </c>
      <c r="AR6" s="94">
        <f>公交!AR11+出租!AR11+网约车!AR11+轨道、轮渡!AR6+轨道、轮渡!AR15</f>
        <v>20258.552892364</v>
      </c>
      <c r="AS6" s="245">
        <f t="shared" si="20"/>
        <v>-0.0437608944072952</v>
      </c>
      <c r="AT6" s="94">
        <f t="shared" ref="AT6:AT39" si="23">V6+X6+Z6+AB6+AD6+AF6+AH6+AJ6+AL6+AN6+AP6+AR6</f>
        <v>236964.529798674</v>
      </c>
      <c r="AU6" s="245">
        <f t="shared" si="21"/>
        <v>-0.0509442822581239</v>
      </c>
      <c r="AV6" s="280"/>
      <c r="AW6" s="94">
        <f>公交!AW11+出租!AW11+网约车!AW11+轨道、轮渡!AW6+轨道、轮渡!AW15</f>
        <v>20917.4434581559</v>
      </c>
      <c r="AX6" s="281"/>
      <c r="AY6" s="94">
        <f>公交!AY11+出租!AY11+网约车!AY11+轨道、轮渡!AY6+轨道、轮渡!AY15</f>
        <v>16256.8426511193</v>
      </c>
      <c r="AZ6" s="281"/>
      <c r="BA6" s="94">
        <f>公交!BA11+出租!BA11+网约车!BA11+轨道、轮渡!BA6+轨道、轮渡!BA15</f>
        <v>23203.6514865098</v>
      </c>
      <c r="BB6" s="281"/>
      <c r="BC6" s="94">
        <f>公交!BC11+出租!BC11+网约车!BC11+轨道、轮渡!BC6+轨道、轮渡!BC15</f>
        <v>22726.4117194474</v>
      </c>
      <c r="BD6" s="281"/>
      <c r="BE6" s="94">
        <f>公交!BE11+出租!BE11+网约车!BE11+轨道、轮渡!BE6+轨道、轮渡!BE15</f>
        <v>22345.8548068842</v>
      </c>
      <c r="BF6" s="281"/>
      <c r="BG6" s="94">
        <f>公交!BG11+出租!BG11+网约车!BG11+轨道、轮渡!BG6+轨道、轮渡!BG15</f>
        <v>20690.9259424117</v>
      </c>
      <c r="BH6" s="281"/>
      <c r="BI6" s="94">
        <f>公交!BI11+出租!BI11+网约车!BI11+轨道、轮渡!BI6+轨道、轮渡!BI15</f>
        <v>20435.8163736859</v>
      </c>
      <c r="BJ6" s="281"/>
      <c r="BK6" s="94">
        <f>公交!BK11+出租!BK11+网约车!BK11+轨道、轮渡!BK6+轨道、轮渡!BK15</f>
        <v>19062.0936908323</v>
      </c>
      <c r="BL6" s="281"/>
      <c r="BM6" s="94">
        <f>公交!BM11+出租!BM11+网约车!BM11+轨道、轮渡!BM6+轨道、轮渡!BM15</f>
        <v>20254.0150097036</v>
      </c>
      <c r="BN6" s="281"/>
      <c r="BO6" s="94">
        <f>公交!BO11+出租!BO11+网约车!BO11+轨道、轮渡!BO6+轨道、轮渡!BO15</f>
        <v>21650.9712214801</v>
      </c>
      <c r="BP6" s="281"/>
      <c r="BQ6" s="94">
        <f>公交!BQ11+出租!BQ11+网约车!BQ11+轨道、轮渡!BQ6+轨道、轮渡!BQ15</f>
        <v>20954.8464007069</v>
      </c>
      <c r="BR6" s="281"/>
      <c r="BS6" s="94">
        <f>公交!BS11+出租!BS11+网约车!BS11+轨道、轮渡!BS6+轨道、轮渡!BS15</f>
        <v>21185.6561542807</v>
      </c>
      <c r="BT6" s="281"/>
      <c r="BU6" s="282">
        <f t="shared" si="22"/>
        <v>249684.528915218</v>
      </c>
    </row>
    <row r="7" s="256" customFormat="1" ht="31.2" customHeight="1" spans="1:73">
      <c r="A7" s="29"/>
      <c r="B7" s="277" t="s">
        <v>194</v>
      </c>
      <c r="C7" s="94">
        <f>公交!C12+出租!C12+网约车!C12+轨道、轮渡!C7+轨道、轮渡!C16</f>
        <v>142140.462119778</v>
      </c>
      <c r="D7" s="245">
        <f t="shared" si="0"/>
        <v>0.0627164487236227</v>
      </c>
      <c r="E7" s="94">
        <f>公交!E12+出租!E12+网约车!E12+轨道、轮渡!E7+轨道、轮渡!E16</f>
        <v>109745.292289602</v>
      </c>
      <c r="F7" s="245">
        <f t="shared" si="1"/>
        <v>-0.152861354702799</v>
      </c>
      <c r="G7" s="94">
        <f>公交!G12+出租!G12+网约车!G12+轨道、轮渡!G7+轨道、轮渡!G16</f>
        <v>154885.416051665</v>
      </c>
      <c r="H7" s="245">
        <f t="shared" si="2"/>
        <v>-0.0325081816172775</v>
      </c>
      <c r="I7" s="94">
        <f>公交!I12+出租!I12+网约车!I12+轨道、轮渡!I7+轨道、轮渡!I16</f>
        <v>155605.197384982</v>
      </c>
      <c r="J7" s="245">
        <f t="shared" si="3"/>
        <v>-0.0252394831283629</v>
      </c>
      <c r="K7" s="94">
        <f>公交!K12+出租!K12+网约车!K12+轨道、轮渡!K7+轨道、轮渡!K16</f>
        <v>152547.86824445</v>
      </c>
      <c r="L7" s="245">
        <f t="shared" si="4"/>
        <v>-0.0183172383643856</v>
      </c>
      <c r="M7" s="94">
        <f>公交!M12+出租!M12+网约车!M12+轨道、轮渡!M7+轨道、轮渡!M16</f>
        <v>144906.742380231</v>
      </c>
      <c r="N7" s="245">
        <f t="shared" si="5"/>
        <v>0.0307194805896309</v>
      </c>
      <c r="O7" s="94">
        <f>公交!O12+出租!O12+网约车!O12+轨道、轮渡!O7+轨道、轮渡!O16</f>
        <v>139878.862868354</v>
      </c>
      <c r="P7" s="245">
        <f t="shared" si="6"/>
        <v>0.0224209435962228</v>
      </c>
      <c r="Q7" s="175"/>
      <c r="R7" s="127"/>
      <c r="S7" s="278">
        <f t="shared" si="7"/>
        <v>999709.841339062</v>
      </c>
      <c r="T7" s="279">
        <f t="shared" si="8"/>
        <v>-0.129320661425604</v>
      </c>
      <c r="U7" s="94"/>
      <c r="V7" s="94">
        <f>公交!V12+出租!V12+网约车!V12+轨道、轮渡!V7+轨道、轮渡!V16</f>
        <v>133752.010981383</v>
      </c>
      <c r="W7" s="245">
        <f t="shared" si="9"/>
        <v>-0.0992777481709444</v>
      </c>
      <c r="X7" s="94">
        <f>公交!X12+出租!X12+网约车!X12+轨道、轮渡!X7+轨道、轮渡!X16</f>
        <v>129548.206658782</v>
      </c>
      <c r="Y7" s="245">
        <f t="shared" si="10"/>
        <v>0.471366019511052</v>
      </c>
      <c r="Z7" s="94">
        <f>公交!Z12+出租!Z12+网约车!Z12+轨道、轮渡!Z7+轨道、轮渡!Z16</f>
        <v>160089.639115061</v>
      </c>
      <c r="AA7" s="245">
        <f t="shared" si="11"/>
        <v>-0.0384004370693314</v>
      </c>
      <c r="AB7" s="94">
        <f>公交!AB12+出租!AB12+网约车!AB12+轨道、轮渡!AB7+轨道、轮渡!AB16</f>
        <v>159634.284207957</v>
      </c>
      <c r="AC7" s="245">
        <f t="shared" si="12"/>
        <v>-0.0444035518968255</v>
      </c>
      <c r="AD7" s="94">
        <f>公交!AD12+出租!AD12+网约车!AD12+轨道、轮渡!AD7+轨道、轮渡!AD16</f>
        <v>155394.261981625</v>
      </c>
      <c r="AE7" s="245">
        <f t="shared" si="13"/>
        <v>-0.0410180514460011</v>
      </c>
      <c r="AF7" s="94">
        <f>公交!AF12+出租!AF12+网约车!AF12+轨道、轮渡!AF7+轨道、轮渡!AF16</f>
        <v>140587.9534724</v>
      </c>
      <c r="AG7" s="245">
        <f t="shared" si="14"/>
        <v>-0.0903088230237575</v>
      </c>
      <c r="AH7" s="94">
        <f>公交!AH12+出租!AH12+网约车!AH12+轨道、轮渡!AH7+轨道、轮渡!AH16</f>
        <v>136811.421699119</v>
      </c>
      <c r="AI7" s="245">
        <f t="shared" si="15"/>
        <v>-0.0987973974475393</v>
      </c>
      <c r="AJ7" s="94">
        <f>公交!AJ12+出租!AJ12+网约车!AJ12+轨道、轮渡!AJ7+轨道、轮渡!AJ16</f>
        <v>132377.426533795</v>
      </c>
      <c r="AK7" s="245">
        <f t="shared" si="16"/>
        <v>-0.0747782040866195</v>
      </c>
      <c r="AL7" s="94">
        <f>公交!AL12+出租!AL12+网约车!AL12+轨道、轮渡!AL7+轨道、轮渡!AL16</f>
        <v>142267.477321601</v>
      </c>
      <c r="AM7" s="245">
        <f t="shared" si="17"/>
        <v>-0.0608235192757359</v>
      </c>
      <c r="AN7" s="94">
        <f>公交!AN12+出租!AN12+网约车!AN12+轨道、轮渡!AN7+轨道、轮渡!AN16</f>
        <v>150913.650568641</v>
      </c>
      <c r="AO7" s="245">
        <f t="shared" si="18"/>
        <v>-0.118487899042127</v>
      </c>
      <c r="AP7" s="94">
        <f>公交!AP12+出租!AP12+网约车!AP12+轨道、轮渡!AP7+轨道、轮渡!AP16</f>
        <v>149582.431350774</v>
      </c>
      <c r="AQ7" s="245">
        <f t="shared" si="19"/>
        <v>-0.0230693608443178</v>
      </c>
      <c r="AR7" s="94">
        <f>公交!AR12+出租!AR12+网约车!AR12+轨道、轮渡!AR7+轨道、轮渡!AR16</f>
        <v>147793.177681441</v>
      </c>
      <c r="AS7" s="245">
        <f t="shared" si="20"/>
        <v>-0.0337602924199516</v>
      </c>
      <c r="AT7" s="94">
        <f t="shared" si="23"/>
        <v>1738751.94157258</v>
      </c>
      <c r="AU7" s="245">
        <f t="shared" si="21"/>
        <v>-0.03952186122554</v>
      </c>
      <c r="AV7" s="280"/>
      <c r="AW7" s="94">
        <f>公交!AW12+出租!AW12+网约车!AW12+轨道、轮渡!AW7+轨道、轮渡!AW16</f>
        <v>148494.178654717</v>
      </c>
      <c r="AX7" s="281"/>
      <c r="AY7" s="94">
        <f>公交!AY12+出租!AY12+网约车!AY12+轨道、轮渡!AY7+轨道、轮渡!AY16</f>
        <v>88046.2134784329</v>
      </c>
      <c r="AZ7" s="281"/>
      <c r="BA7" s="94">
        <f>公交!BA12+出租!BA12+网约车!BA12+轨道、轮渡!BA7+轨道、轮渡!BA16</f>
        <v>166482.645465391</v>
      </c>
      <c r="BB7" s="281"/>
      <c r="BC7" s="94">
        <f>公交!BC12+出租!BC12+网约车!BC12+轨道、轮渡!BC7+轨道、轮渡!BC16</f>
        <v>167051.985725591</v>
      </c>
      <c r="BD7" s="281"/>
      <c r="BE7" s="94">
        <f>公交!BE12+出租!BE12+网约车!BE12+轨道、轮渡!BE7+轨道、轮渡!BE16</f>
        <v>162040.862412412</v>
      </c>
      <c r="BF7" s="281"/>
      <c r="BG7" s="94">
        <f>公交!BG12+出租!BG12+网约车!BG12+轨道、轮渡!BG7+轨道、轮渡!BG16</f>
        <v>154544.703774863</v>
      </c>
      <c r="BH7" s="281"/>
      <c r="BI7" s="94">
        <f>公交!BI12+出租!BI12+网约车!BI12+轨道、轮渡!BI7+轨道、轮渡!BI16</f>
        <v>151809.838666278</v>
      </c>
      <c r="BJ7" s="281"/>
      <c r="BK7" s="94">
        <f>公交!BK12+出租!BK12+网约车!BK12+轨道、轮渡!BK7+轨道、轮渡!BK16</f>
        <v>143076.42461353</v>
      </c>
      <c r="BL7" s="281"/>
      <c r="BM7" s="94">
        <f>公交!BM12+出租!BM12+网约车!BM12+轨道、轮渡!BM7+轨道、轮渡!BM16</f>
        <v>151481.090339792</v>
      </c>
      <c r="BN7" s="281"/>
      <c r="BO7" s="94">
        <f>公交!BO12+出租!BO12+网约车!BO12+轨道、轮渡!BO7+轨道、轮渡!BO16</f>
        <v>171198.614749196</v>
      </c>
      <c r="BP7" s="281"/>
      <c r="BQ7" s="94">
        <f>公交!BQ12+出租!BQ12+网约车!BQ12+轨道、轮渡!BQ7+轨道、轮渡!BQ16</f>
        <v>153114.689370426</v>
      </c>
      <c r="BR7" s="281"/>
      <c r="BS7" s="94">
        <f>公交!BS12+出租!BS12+网约车!BS12+轨道、轮渡!BS7+轨道、轮渡!BS16</f>
        <v>152957.052501589</v>
      </c>
      <c r="BT7" s="281"/>
      <c r="BU7" s="282">
        <f t="shared" si="22"/>
        <v>1810298.29975222</v>
      </c>
    </row>
    <row r="8" s="256" customFormat="1" ht="31.2" customHeight="1" spans="1:73">
      <c r="A8" s="283" t="s">
        <v>94</v>
      </c>
      <c r="B8" s="277" t="s">
        <v>193</v>
      </c>
      <c r="C8" s="94">
        <f>公交!C15+出租!C15+网约车!C15+轨道、轮渡!C8</f>
        <v>1352.26223668296</v>
      </c>
      <c r="D8" s="245">
        <f t="shared" si="0"/>
        <v>-0.0736279563070913</v>
      </c>
      <c r="E8" s="94">
        <f>公交!E15+出租!E15+网约车!E15+轨道、轮渡!E8</f>
        <v>1165.32664260496</v>
      </c>
      <c r="F8" s="245">
        <f t="shared" si="1"/>
        <v>-0.187197180947347</v>
      </c>
      <c r="G8" s="94">
        <f>公交!G15+出租!G15+网约车!G15+轨道、轮渡!G8</f>
        <v>1394.72099710395</v>
      </c>
      <c r="H8" s="245">
        <f t="shared" si="2"/>
        <v>-0.0557052902256459</v>
      </c>
      <c r="I8" s="94">
        <f>公交!I15+出租!I15+网约车!I15+轨道、轮渡!I8</f>
        <v>1358.29562269759</v>
      </c>
      <c r="J8" s="245">
        <f t="shared" si="3"/>
        <v>-0.111625922836922</v>
      </c>
      <c r="K8" s="94">
        <f>公交!K15+出租!K15+网约车!K15+轨道、轮渡!K8</f>
        <v>1337.25188473821</v>
      </c>
      <c r="L8" s="245">
        <f t="shared" si="4"/>
        <v>-0.133581331353559</v>
      </c>
      <c r="M8" s="94">
        <f>公交!M15+出租!M15+网约车!M15+轨道、轮渡!M8</f>
        <v>1292.38687568385</v>
      </c>
      <c r="N8" s="245">
        <f t="shared" si="5"/>
        <v>-0.0595410745733898</v>
      </c>
      <c r="O8" s="94">
        <f>公交!O15+出租!O15+网约车!O15+轨道、轮渡!O8</f>
        <v>1235.39496364158</v>
      </c>
      <c r="P8" s="245">
        <f t="shared" si="6"/>
        <v>-0.0403117110382984</v>
      </c>
      <c r="Q8" s="175"/>
      <c r="R8" s="127"/>
      <c r="S8" s="278">
        <f t="shared" si="7"/>
        <v>9135.63922315311</v>
      </c>
      <c r="T8" s="279">
        <f t="shared" si="8"/>
        <v>-0.196992316510884</v>
      </c>
      <c r="U8" s="94"/>
      <c r="V8" s="94">
        <f>公交!V15+出租!V15+网约车!V15+轨道、轮渡!V8</f>
        <v>1459.73990243949</v>
      </c>
      <c r="W8" s="245">
        <f t="shared" si="9"/>
        <v>-0.182396397585966</v>
      </c>
      <c r="X8" s="94">
        <f>公交!X15+出租!X15+网约车!X15+轨道、轮渡!X8</f>
        <v>1433.71382983537</v>
      </c>
      <c r="Y8" s="245">
        <f t="shared" si="10"/>
        <v>-0.00673785787538017</v>
      </c>
      <c r="Z8" s="94">
        <f>公交!Z15+出租!Z15+网约车!Z15+轨道、轮渡!Z8</f>
        <v>1476.99757572213</v>
      </c>
      <c r="AA8" s="245">
        <f t="shared" si="11"/>
        <v>-0.097803847119872</v>
      </c>
      <c r="AB8" s="94">
        <f>公交!AB15+出租!AB15+网约车!AB15+轨道、轮渡!AB8</f>
        <v>1528.96809757794</v>
      </c>
      <c r="AC8" s="245">
        <f t="shared" si="12"/>
        <v>-0.0859665524887605</v>
      </c>
      <c r="AD8" s="94">
        <f>公交!AD15+出租!AD15+网约车!AD15+轨道、轮渡!AD8</f>
        <v>1543.42459728773</v>
      </c>
      <c r="AE8" s="245">
        <f t="shared" si="13"/>
        <v>-0.0365216761523161</v>
      </c>
      <c r="AF8" s="94">
        <f>公交!AF15+出租!AF15+网约车!AF15+轨道、轮渡!AF8</f>
        <v>1374.20874079918</v>
      </c>
      <c r="AG8" s="245">
        <f t="shared" si="14"/>
        <v>-0.110193455072656</v>
      </c>
      <c r="AH8" s="94">
        <f>公交!AH15+出租!AH15+网约车!AH15+轨道、轮渡!AH8</f>
        <v>1287.28773483124</v>
      </c>
      <c r="AI8" s="245">
        <f t="shared" si="15"/>
        <v>-0.143012675794673</v>
      </c>
      <c r="AJ8" s="94">
        <f>公交!AJ15+出租!AJ15+网约车!AJ15+轨道、轮渡!AJ8</f>
        <v>1272.43637058787</v>
      </c>
      <c r="AK8" s="245">
        <f t="shared" si="16"/>
        <v>-0.153010930220695</v>
      </c>
      <c r="AL8" s="94">
        <f>公交!AL15+出租!AL15+网约车!AL15+轨道、轮渡!AL8</f>
        <v>1327.58585485377</v>
      </c>
      <c r="AM8" s="245">
        <f t="shared" si="17"/>
        <v>-0.101984983277243</v>
      </c>
      <c r="AN8" s="94">
        <f>公交!AN15+出租!AN15+网约车!AN15+轨道、轮渡!AN8</f>
        <v>1395.83880212518</v>
      </c>
      <c r="AO8" s="245">
        <f t="shared" si="18"/>
        <v>-0.0837328852883985</v>
      </c>
      <c r="AP8" s="94">
        <f>公交!AP15+出租!AP15+网约车!AP15+轨道、轮渡!AP8</f>
        <v>1370.63494341526</v>
      </c>
      <c r="AQ8" s="245">
        <f t="shared" si="19"/>
        <v>-0.103478838743354</v>
      </c>
      <c r="AR8" s="94">
        <f>公交!AR15+出租!AR15+网约车!AR15+轨道、轮渡!AR8</f>
        <v>1375.30237711517</v>
      </c>
      <c r="AS8" s="245">
        <f t="shared" si="20"/>
        <v>-0.119089128056981</v>
      </c>
      <c r="AT8" s="94">
        <f t="shared" si="23"/>
        <v>16846.1388265904</v>
      </c>
      <c r="AU8" s="245">
        <f t="shared" si="21"/>
        <v>-0.103034868669804</v>
      </c>
      <c r="AV8" s="280"/>
      <c r="AW8" s="94">
        <f>公交!AW15+出租!AW15+网约车!AW15+轨道、轮渡!AW8</f>
        <v>1785.38829590465</v>
      </c>
      <c r="AX8" s="281"/>
      <c r="AY8" s="94">
        <f>公交!AY15+出租!AY15+网约车!AY15+轨道、轮渡!AY8</f>
        <v>1443.43952017401</v>
      </c>
      <c r="AZ8" s="281"/>
      <c r="BA8" s="94">
        <f>公交!BA15+出租!BA15+网约车!BA15+轨道、轮渡!BA8</f>
        <v>1637.11358223712</v>
      </c>
      <c r="BB8" s="281"/>
      <c r="BC8" s="94">
        <f>公交!BC15+出租!BC15+网约车!BC15+轨道、轮渡!BC8</f>
        <v>1672.77040215658</v>
      </c>
      <c r="BD8" s="281"/>
      <c r="BE8" s="94">
        <f>公交!BE15+出租!BE15+网约车!BE15+轨道、轮渡!BE8</f>
        <v>1601.92975709512</v>
      </c>
      <c r="BF8" s="281"/>
      <c r="BG8" s="94">
        <f>公交!BG15+出租!BG15+网约车!BG15+轨道、轮渡!BG8</f>
        <v>1544.39046176199</v>
      </c>
      <c r="BH8" s="281"/>
      <c r="BI8" s="94">
        <f>公交!BI15+出租!BI15+网约车!BI15+轨道、轮渡!BI8</f>
        <v>1502.10825583088</v>
      </c>
      <c r="BJ8" s="281"/>
      <c r="BK8" s="94">
        <f>公交!BK15+出租!BK15+网约车!BK15+轨道、轮渡!BK8</f>
        <v>1502.30553851117</v>
      </c>
      <c r="BL8" s="281"/>
      <c r="BM8" s="94">
        <f>公交!BM15+出租!BM15+网约车!BM15+轨道、轮渡!BM8</f>
        <v>1478.3559630202</v>
      </c>
      <c r="BN8" s="281"/>
      <c r="BO8" s="94">
        <f>公交!BO15+出租!BO15+网约车!BO15+轨道、轮渡!BO8</f>
        <v>1523.39724924487</v>
      </c>
      <c r="BP8" s="281"/>
      <c r="BQ8" s="94">
        <f>公交!BQ15+出租!BQ15+网约车!BQ15+轨道、轮渡!BQ8</f>
        <v>1528.83724628881</v>
      </c>
      <c r="BR8" s="281"/>
      <c r="BS8" s="94">
        <f>公交!BS15+出租!BS15+网约车!BS15+轨道、轮渡!BS8</f>
        <v>1561.22761214387</v>
      </c>
      <c r="BT8" s="281"/>
      <c r="BU8" s="282">
        <f t="shared" si="22"/>
        <v>18781.2638843693</v>
      </c>
    </row>
    <row r="9" s="256" customFormat="1" ht="31.2" customHeight="1" spans="1:73">
      <c r="A9" s="29"/>
      <c r="B9" s="277" t="s">
        <v>194</v>
      </c>
      <c r="C9" s="94">
        <f>公交!C16+出租!C16+网约车!C16+轨道、轮渡!C9</f>
        <v>7301.41397031852</v>
      </c>
      <c r="D9" s="245">
        <f t="shared" si="0"/>
        <v>0.0371400024508548</v>
      </c>
      <c r="E9" s="94">
        <f>公交!E16+出租!E16+网约车!E16+轨道、轮渡!E9</f>
        <v>6216.71158379606</v>
      </c>
      <c r="F9" s="245">
        <f t="shared" si="1"/>
        <v>-0.101477934036912</v>
      </c>
      <c r="G9" s="94">
        <f>公交!G16+出租!G16+网约车!G16+轨道、轮渡!G9</f>
        <v>7592.28173749806</v>
      </c>
      <c r="H9" s="245">
        <f t="shared" si="2"/>
        <v>0.0620497801828659</v>
      </c>
      <c r="I9" s="94">
        <f>公交!I16+出租!I16+网约车!I16+轨道、轮渡!I9</f>
        <v>7412.73211993937</v>
      </c>
      <c r="J9" s="245">
        <f t="shared" si="3"/>
        <v>0.00466675742126488</v>
      </c>
      <c r="K9" s="94">
        <f>公交!K16+出租!K16+网约车!K16+轨道、轮渡!K9</f>
        <v>7290.88932053834</v>
      </c>
      <c r="L9" s="245">
        <f t="shared" si="4"/>
        <v>-0.0160753799525135</v>
      </c>
      <c r="M9" s="94">
        <f>公交!M16+出租!M16+网约车!M16+轨道、轮渡!M9</f>
        <v>6972.12795221149</v>
      </c>
      <c r="N9" s="245">
        <f t="shared" si="5"/>
        <v>0.0572842823669144</v>
      </c>
      <c r="O9" s="94">
        <f>公交!O16+出租!O16+网约车!O16+轨道、轮渡!O9</f>
        <v>6567.37733097441</v>
      </c>
      <c r="P9" s="245">
        <f t="shared" si="6"/>
        <v>0.0707101978723046</v>
      </c>
      <c r="Q9" s="175"/>
      <c r="R9" s="127"/>
      <c r="S9" s="278">
        <f t="shared" si="7"/>
        <v>49353.5340152762</v>
      </c>
      <c r="T9" s="279">
        <f t="shared" si="8"/>
        <v>-0.0972208941874676</v>
      </c>
      <c r="U9" s="94"/>
      <c r="V9" s="94">
        <f>公交!V16+出租!V16+网约车!V16+轨道、轮渡!V9</f>
        <v>7039.9502025422</v>
      </c>
      <c r="W9" s="245">
        <f t="shared" si="9"/>
        <v>-0.20983357773732</v>
      </c>
      <c r="X9" s="94">
        <f>公交!X16+出租!X16+网约车!X16+轨道、轮渡!X9</f>
        <v>6918.81904662255</v>
      </c>
      <c r="Y9" s="245">
        <f t="shared" si="10"/>
        <v>-0.000307711720155646</v>
      </c>
      <c r="Z9" s="94">
        <f>公交!Z16+出租!Z16+网约车!Z16+轨道、轮渡!Z9</f>
        <v>7148.70609566983</v>
      </c>
      <c r="AA9" s="245">
        <f t="shared" si="11"/>
        <v>-0.101505682211653</v>
      </c>
      <c r="AB9" s="94">
        <f>公交!AB16+出租!AB16+网约车!AB16+轨道、轮渡!AB9</f>
        <v>7378.29938652101</v>
      </c>
      <c r="AC9" s="245">
        <f t="shared" si="12"/>
        <v>-0.0917411896718865</v>
      </c>
      <c r="AD9" s="94">
        <f>公交!AD16+出租!AD16+网约车!AD16+轨道、轮渡!AD9</f>
        <v>7410.00801482787</v>
      </c>
      <c r="AE9" s="245">
        <f t="shared" si="13"/>
        <v>-0.0480437156817161</v>
      </c>
      <c r="AF9" s="94">
        <f>公交!AF16+出租!AF16+网约车!AF16+轨道、轮渡!AF9</f>
        <v>6594.3739715899</v>
      </c>
      <c r="AG9" s="245">
        <f t="shared" si="14"/>
        <v>-0.119134316635818</v>
      </c>
      <c r="AH9" s="94">
        <f>公交!AH16+出租!AH16+网约车!AH16+轨道、轮渡!AH9</f>
        <v>6133.66468725616</v>
      </c>
      <c r="AI9" s="245">
        <f t="shared" si="15"/>
        <v>-0.155139114700322</v>
      </c>
      <c r="AJ9" s="94">
        <f>公交!AJ16+出租!AJ16+网约车!AJ16+轨道、轮渡!AJ9</f>
        <v>6044.62816088767</v>
      </c>
      <c r="AK9" s="245">
        <f t="shared" si="16"/>
        <v>-0.163860657902747</v>
      </c>
      <c r="AL9" s="94">
        <f>公交!AL16+出租!AL16+网约车!AL16+轨道、轮渡!AL9</f>
        <v>6378.39473933948</v>
      </c>
      <c r="AM9" s="245">
        <f t="shared" si="17"/>
        <v>-0.110363140538136</v>
      </c>
      <c r="AN9" s="94">
        <f>公交!AN16+出租!AN16+网约车!AN16+轨道、轮渡!AN9</f>
        <v>7516.80040495714</v>
      </c>
      <c r="AO9" s="245">
        <f t="shared" si="18"/>
        <v>0.0124554934588004</v>
      </c>
      <c r="AP9" s="94">
        <f>公交!AP16+出租!AP16+网约车!AP16+轨道、轮渡!AP9</f>
        <v>7429.38382775191</v>
      </c>
      <c r="AQ9" s="245">
        <f t="shared" si="19"/>
        <v>-0.0039760673282806</v>
      </c>
      <c r="AR9" s="94">
        <f>公交!AR16+出租!AR16+网约车!AR16+轨道、轮渡!AR9</f>
        <v>7495.64006551154</v>
      </c>
      <c r="AS9" s="245">
        <f t="shared" si="20"/>
        <v>-0.0205453342269092</v>
      </c>
      <c r="AT9" s="94">
        <f t="shared" si="23"/>
        <v>83488.6686034772</v>
      </c>
      <c r="AU9" s="245">
        <f t="shared" si="21"/>
        <v>-0.0863131891979653</v>
      </c>
      <c r="AV9" s="280"/>
      <c r="AW9" s="94">
        <f>公交!AW16+出租!AW16+网约车!AW16+轨道、轮渡!AW9</f>
        <v>8909.4524953148</v>
      </c>
      <c r="AX9" s="281"/>
      <c r="AY9" s="94">
        <f>公交!AY16+出租!AY16+网约车!AY16+轨道、轮渡!AY9</f>
        <v>6920.94870365326</v>
      </c>
      <c r="AZ9" s="281"/>
      <c r="BA9" s="94">
        <f>公交!BA16+出租!BA16+网约车!BA16+轨道、轮渡!BA9</f>
        <v>7956.31753494719</v>
      </c>
      <c r="BB9" s="281"/>
      <c r="BC9" s="94">
        <f>公交!BC16+出租!BC16+网约车!BC16+轨道、轮渡!BC9</f>
        <v>8123.56489430095</v>
      </c>
      <c r="BD9" s="281"/>
      <c r="BE9" s="94">
        <f>公交!BE16+出租!BE16+网约车!BE16+轨道、轮渡!BE9</f>
        <v>7783.9793033504</v>
      </c>
      <c r="BF9" s="281"/>
      <c r="BG9" s="94">
        <f>公交!BG16+出租!BG16+网约车!BG16+轨道、轮渡!BG9</f>
        <v>7486.24233652152</v>
      </c>
      <c r="BH9" s="281"/>
      <c r="BI9" s="94">
        <f>公交!BI16+出租!BI16+网约车!BI16+轨道、轮渡!BI9</f>
        <v>7259.97000687339</v>
      </c>
      <c r="BJ9" s="281"/>
      <c r="BK9" s="94">
        <f>公交!BK16+出租!BK16+网约车!BK16+轨道、轮渡!BK9</f>
        <v>7229.21151602098</v>
      </c>
      <c r="BL9" s="281"/>
      <c r="BM9" s="94">
        <f>公交!BM16+出租!BM16+网约车!BM16+轨道、轮渡!BM9</f>
        <v>7169.66104933841</v>
      </c>
      <c r="BN9" s="281"/>
      <c r="BO9" s="94">
        <f>公交!BO16+出租!BO16+网约车!BO16+轨道、轮渡!BO9</f>
        <v>7424.32675166577</v>
      </c>
      <c r="BP9" s="281"/>
      <c r="BQ9" s="94">
        <f>公交!BQ16+出租!BQ16+网约车!BQ16+轨道、轮渡!BQ9</f>
        <v>7459.04147887636</v>
      </c>
      <c r="BR9" s="281"/>
      <c r="BS9" s="94">
        <f>公交!BS16+出租!BS16+网约车!BS16+轨道、轮渡!BS9</f>
        <v>7652.87085502337</v>
      </c>
      <c r="BT9" s="281"/>
      <c r="BU9" s="282">
        <f t="shared" si="22"/>
        <v>91375.5869258864</v>
      </c>
    </row>
    <row r="10" s="256" customFormat="1" ht="31.2" customHeight="1" spans="1:73">
      <c r="A10" s="283" t="s">
        <v>95</v>
      </c>
      <c r="B10" s="277" t="s">
        <v>193</v>
      </c>
      <c r="C10" s="94">
        <f>公交!C19+出租!C19+网约车!C19</f>
        <v>1785.54572740168</v>
      </c>
      <c r="D10" s="245">
        <f t="shared" si="0"/>
        <v>-0.0109134020138819</v>
      </c>
      <c r="E10" s="94">
        <f>公交!E19+出租!E19+网约车!E19</f>
        <v>1644.20718172795</v>
      </c>
      <c r="F10" s="245">
        <f t="shared" si="1"/>
        <v>0.0556608817666582</v>
      </c>
      <c r="G10" s="94">
        <f>公交!G19+出租!G19+网约车!G19</f>
        <v>1770.60220703224</v>
      </c>
      <c r="H10" s="245">
        <f t="shared" si="2"/>
        <v>0.0550960986340565</v>
      </c>
      <c r="I10" s="94">
        <f>公交!I19+出租!I19+网约车!I19</f>
        <v>1910.0302080161</v>
      </c>
      <c r="J10" s="245">
        <f t="shared" si="3"/>
        <v>0.0807597567558784</v>
      </c>
      <c r="K10" s="94">
        <f>公交!K19+出租!K19+网约车!K19</f>
        <v>1857.03833437347</v>
      </c>
      <c r="L10" s="245">
        <f t="shared" si="4"/>
        <v>0.0925861534604917</v>
      </c>
      <c r="M10" s="94">
        <f>公交!M19+出租!M19+网约车!M19</f>
        <v>1869.79034642834</v>
      </c>
      <c r="N10" s="245">
        <f t="shared" si="5"/>
        <v>0.0807001267448688</v>
      </c>
      <c r="O10" s="94">
        <f>公交!O19+出租!O19+网约车!O19</f>
        <v>1745.10767586834</v>
      </c>
      <c r="P10" s="245">
        <f t="shared" si="6"/>
        <v>0.0997167233325953</v>
      </c>
      <c r="Q10" s="175"/>
      <c r="R10" s="127"/>
      <c r="S10" s="278">
        <f t="shared" si="7"/>
        <v>12582.3216808481</v>
      </c>
      <c r="T10" s="279">
        <f t="shared" si="8"/>
        <v>-0.0593385607576186</v>
      </c>
      <c r="U10" s="94"/>
      <c r="V10" s="94">
        <f>公交!V19+出租!V19+网约车!V19</f>
        <v>1805.24711490099</v>
      </c>
      <c r="W10" s="245">
        <f t="shared" si="9"/>
        <v>-0.12097129775508</v>
      </c>
      <c r="X10" s="94">
        <f>公交!X19+出租!X19+网约车!X19</f>
        <v>1557.51454858908</v>
      </c>
      <c r="Y10" s="245">
        <f t="shared" si="10"/>
        <v>-0.0880723769912423</v>
      </c>
      <c r="Z10" s="94">
        <f>公交!Z19+出租!Z19+网约车!Z19</f>
        <v>1678.14307087713</v>
      </c>
      <c r="AA10" s="245">
        <f t="shared" si="11"/>
        <v>-0.10314786293503</v>
      </c>
      <c r="AB10" s="94">
        <f>公交!AB19+出租!AB19+网约车!AB19</f>
        <v>1767.3032291186</v>
      </c>
      <c r="AC10" s="245">
        <f t="shared" si="12"/>
        <v>-0.0830439620481267</v>
      </c>
      <c r="AD10" s="94">
        <f>公交!AD19+出租!AD19+网约车!AD19</f>
        <v>1699.67222126307</v>
      </c>
      <c r="AE10" s="245">
        <f t="shared" si="13"/>
        <v>-0.0792581221235998</v>
      </c>
      <c r="AF10" s="94">
        <f>公交!AF19+出租!AF19+网约车!AF19</f>
        <v>1730.16575103054</v>
      </c>
      <c r="AG10" s="245">
        <f t="shared" si="14"/>
        <v>-0.0756707205787347</v>
      </c>
      <c r="AH10" s="94">
        <f>公交!AH19+出租!AH19+网约车!AH19</f>
        <v>1586.87018105894</v>
      </c>
      <c r="AI10" s="245">
        <f t="shared" si="15"/>
        <v>-0.138951984689022</v>
      </c>
      <c r="AJ10" s="94">
        <f>公交!AJ19+出租!AJ19+网约车!AJ19</f>
        <v>1551.12031448601</v>
      </c>
      <c r="AK10" s="245">
        <f t="shared" si="16"/>
        <v>-0.105219309633361</v>
      </c>
      <c r="AL10" s="94">
        <f>公交!AL19+出租!AL19+网约车!AL19</f>
        <v>1737.71124927549</v>
      </c>
      <c r="AM10" s="245">
        <f t="shared" si="17"/>
        <v>-0.0535701240215289</v>
      </c>
      <c r="AN10" s="94">
        <f>公交!AN19+出租!AN19+网约车!AN19</f>
        <v>1713.70408832426</v>
      </c>
      <c r="AO10" s="245">
        <f t="shared" si="18"/>
        <v>-0.0482041022372633</v>
      </c>
      <c r="AP10" s="94">
        <f>公交!AP19+出租!AP19+网约车!AP19</f>
        <v>1733.73468452604</v>
      </c>
      <c r="AQ10" s="245">
        <f t="shared" si="19"/>
        <v>-0.0519011570589704</v>
      </c>
      <c r="AR10" s="94">
        <f>公交!AR19+出租!AR19+网约车!AR19</f>
        <v>1742.7913174251</v>
      </c>
      <c r="AS10" s="245">
        <f t="shared" si="20"/>
        <v>-0.0691520328616174</v>
      </c>
      <c r="AT10" s="94">
        <f t="shared" si="23"/>
        <v>20303.9777708753</v>
      </c>
      <c r="AU10" s="245">
        <f t="shared" si="21"/>
        <v>-0.0850708426109524</v>
      </c>
      <c r="AV10" s="280"/>
      <c r="AW10" s="94">
        <f>公交!AW19+出租!AW19+网约车!AW19</f>
        <v>2053.68392441639</v>
      </c>
      <c r="AX10" s="281"/>
      <c r="AY10" s="94">
        <f>公交!AY19+出租!AY19+网约车!AY19</f>
        <v>1707.93658322391</v>
      </c>
      <c r="AZ10" s="281"/>
      <c r="BA10" s="94">
        <f>公交!BA19+出租!BA19+网约车!BA19</f>
        <v>1871.14798696808</v>
      </c>
      <c r="BB10" s="281"/>
      <c r="BC10" s="94">
        <f>公交!BC19+出租!BC19+网约车!BC19</f>
        <v>1927.35873473943</v>
      </c>
      <c r="BD10" s="281"/>
      <c r="BE10" s="94">
        <f>公交!BE19+出租!BE19+网约车!BE19</f>
        <v>1845.98122677248</v>
      </c>
      <c r="BF10" s="281"/>
      <c r="BG10" s="94">
        <f>公交!BG19+出租!BG19+网约车!BG19</f>
        <v>1871.80671385182</v>
      </c>
      <c r="BH10" s="281"/>
      <c r="BI10" s="94">
        <f>公交!BI19+出租!BI19+网约车!BI19</f>
        <v>1842.95202223517</v>
      </c>
      <c r="BJ10" s="281"/>
      <c r="BK10" s="94">
        <f>公交!BK19+出租!BK19+网约车!BK19</f>
        <v>1733.52010295443</v>
      </c>
      <c r="BL10" s="281"/>
      <c r="BM10" s="94">
        <f>公交!BM19+出租!BM19+网约车!BM19</f>
        <v>1836.06973256096</v>
      </c>
      <c r="BN10" s="281"/>
      <c r="BO10" s="94">
        <f>公交!BO19+出租!BO19+网约车!BO19</f>
        <v>1800.49535026621</v>
      </c>
      <c r="BP10" s="281"/>
      <c r="BQ10" s="94">
        <f>公交!BQ19+出租!BQ19+网约车!BQ19</f>
        <v>1828.64339244203</v>
      </c>
      <c r="BR10" s="281"/>
      <c r="BS10" s="94">
        <f>公交!BS19+出租!BS19+网约车!BS19</f>
        <v>1872.26204380378</v>
      </c>
      <c r="BT10" s="281"/>
      <c r="BU10" s="282">
        <f t="shared" si="22"/>
        <v>22191.8578142347</v>
      </c>
    </row>
    <row r="11" s="256" customFormat="1" ht="31.2" customHeight="1" spans="1:73">
      <c r="A11" s="29"/>
      <c r="B11" s="277" t="s">
        <v>194</v>
      </c>
      <c r="C11" s="94">
        <f>公交!C20+出租!C20+网约车!C20</f>
        <v>8526.90699491645</v>
      </c>
      <c r="D11" s="245">
        <f t="shared" si="0"/>
        <v>0.0430589628244549</v>
      </c>
      <c r="E11" s="94">
        <f>公交!E20+出租!E20+网约车!E20</f>
        <v>8518.91039668565</v>
      </c>
      <c r="F11" s="245">
        <f t="shared" si="1"/>
        <v>0.156001342970398</v>
      </c>
      <c r="G11" s="94">
        <f>公交!G20+出租!G20+网约车!G20</f>
        <v>8669.55532084738</v>
      </c>
      <c r="H11" s="245">
        <f t="shared" si="2"/>
        <v>0.174154324354727</v>
      </c>
      <c r="I11" s="94">
        <f>公交!I20+出租!I20+网约车!I20</f>
        <v>9305.16126550084</v>
      </c>
      <c r="J11" s="245">
        <f t="shared" si="3"/>
        <v>0.183894776988606</v>
      </c>
      <c r="K11" s="94">
        <f>公交!K20+出租!K20+网约车!K20</f>
        <v>9205.20597916513</v>
      </c>
      <c r="L11" s="245">
        <f t="shared" si="4"/>
        <v>0.223586543662576</v>
      </c>
      <c r="M11" s="94">
        <f>公交!M20+出租!M20+网约车!M20</f>
        <v>8987.68204983874</v>
      </c>
      <c r="N11" s="245">
        <f t="shared" si="5"/>
        <v>0.184884268258251</v>
      </c>
      <c r="O11" s="94">
        <f>公交!O20+出租!O20+网约车!O20</f>
        <v>8654.25894974321</v>
      </c>
      <c r="P11" s="245">
        <f t="shared" si="6"/>
        <v>0.167772072207475</v>
      </c>
      <c r="Q11" s="175"/>
      <c r="R11" s="127"/>
      <c r="S11" s="278">
        <f t="shared" si="7"/>
        <v>61867.6809566974</v>
      </c>
      <c r="T11" s="279">
        <f t="shared" si="8"/>
        <v>0.0203633942034824</v>
      </c>
      <c r="U11" s="94"/>
      <c r="V11" s="94">
        <f>公交!V20+出租!V20+网约车!V20</f>
        <v>8174.90410304975</v>
      </c>
      <c r="W11" s="245">
        <f t="shared" si="9"/>
        <v>-0.0410981823174336</v>
      </c>
      <c r="X11" s="94">
        <f>公交!X20+出租!X20+网约车!X20</f>
        <v>7369.29108991856</v>
      </c>
      <c r="Y11" s="245">
        <f t="shared" si="10"/>
        <v>0.0338165466432041</v>
      </c>
      <c r="Z11" s="94">
        <f>公交!Z20+出租!Z20+网约车!Z20</f>
        <v>7383.65915026703</v>
      </c>
      <c r="AA11" s="245">
        <f t="shared" si="11"/>
        <v>-0.0374531471621884</v>
      </c>
      <c r="AB11" s="94">
        <f>公交!AB20+出租!AB20+网约车!AB20</f>
        <v>7859.78741216323</v>
      </c>
      <c r="AC11" s="245">
        <f t="shared" si="12"/>
        <v>-0.000973247101224262</v>
      </c>
      <c r="AD11" s="94">
        <f>公交!AD20+出租!AD20+网约车!AD20</f>
        <v>7523.13436825733</v>
      </c>
      <c r="AE11" s="245">
        <f t="shared" si="13"/>
        <v>0.00290769835090332</v>
      </c>
      <c r="AF11" s="94">
        <f>公交!AF20+出租!AF20+网约车!AF20</f>
        <v>7585.28262262305</v>
      </c>
      <c r="AG11" s="245">
        <f t="shared" si="14"/>
        <v>-0.107166703127955</v>
      </c>
      <c r="AH11" s="94">
        <f>公交!AH20+出租!AH20+网约车!AH20</f>
        <v>7410.91447184877</v>
      </c>
      <c r="AI11" s="245">
        <f t="shared" si="15"/>
        <v>-0.105422441013777</v>
      </c>
      <c r="AJ11" s="94">
        <f>公交!AJ20+出租!AJ20+网约车!AJ20</f>
        <v>7326.01431176364</v>
      </c>
      <c r="AK11" s="245">
        <f t="shared" si="16"/>
        <v>-0.0891823468792636</v>
      </c>
      <c r="AL11" s="94">
        <f>公交!AL20+出租!AL20+网约车!AL20</f>
        <v>8165.16620289679</v>
      </c>
      <c r="AM11" s="245">
        <f t="shared" si="17"/>
        <v>0.00998879071477843</v>
      </c>
      <c r="AN11" s="94">
        <f>公交!AN20+出租!AN20+网约车!AN20</f>
        <v>8057.55632997168</v>
      </c>
      <c r="AO11" s="245">
        <f t="shared" si="18"/>
        <v>-0.0357024584522483</v>
      </c>
      <c r="AP11" s="94">
        <f>公交!AP20+出租!AP20+网约车!AP20</f>
        <v>8221.66211824356</v>
      </c>
      <c r="AQ11" s="245">
        <f t="shared" si="19"/>
        <v>-0.00566818095688582</v>
      </c>
      <c r="AR11" s="94">
        <f>公交!AR20+出租!AR20+网约车!AR20</f>
        <v>8189.97452997666</v>
      </c>
      <c r="AS11" s="245">
        <f t="shared" si="20"/>
        <v>-0.0326739089336836</v>
      </c>
      <c r="AT11" s="94">
        <f t="shared" si="23"/>
        <v>93267.3467109801</v>
      </c>
      <c r="AU11" s="245">
        <f t="shared" si="21"/>
        <v>-0.0354183973666369</v>
      </c>
      <c r="AV11" s="280"/>
      <c r="AW11" s="94">
        <f>公交!AW20+出租!AW20+网约车!AW20</f>
        <v>8525.27751256798</v>
      </c>
      <c r="AX11" s="281"/>
      <c r="AY11" s="94">
        <f>公交!AY20+出租!AY20+网约车!AY20</f>
        <v>7128.23867430504</v>
      </c>
      <c r="AZ11" s="281"/>
      <c r="BA11" s="94">
        <f>公交!BA20+出租!BA20+网约车!BA20</f>
        <v>7670.96077297254</v>
      </c>
      <c r="BB11" s="281"/>
      <c r="BC11" s="94">
        <f>公交!BC20+出租!BC20+网约车!BC20</f>
        <v>7867.44437959972</v>
      </c>
      <c r="BD11" s="281"/>
      <c r="BE11" s="94">
        <f>公交!BE20+出租!BE20+网约车!BE20</f>
        <v>7501.32278436763</v>
      </c>
      <c r="BF11" s="281"/>
      <c r="BG11" s="94">
        <f>公交!BG20+出租!BG20+网约车!BG20</f>
        <v>8495.74343743378</v>
      </c>
      <c r="BH11" s="281"/>
      <c r="BI11" s="94">
        <f>公交!BI20+出租!BI20+网约车!BI20</f>
        <v>8284.26154602756</v>
      </c>
      <c r="BJ11" s="281"/>
      <c r="BK11" s="94">
        <f>公交!BK20+出租!BK20+网约车!BK20</f>
        <v>8043.3380783327</v>
      </c>
      <c r="BL11" s="281"/>
      <c r="BM11" s="94">
        <f>公交!BM20+出租!BM20+网约车!BM20</f>
        <v>8084.41269642035</v>
      </c>
      <c r="BN11" s="281"/>
      <c r="BO11" s="94">
        <f>公交!BO20+出租!BO20+网约车!BO20</f>
        <v>8355.88185472178</v>
      </c>
      <c r="BP11" s="281"/>
      <c r="BQ11" s="94">
        <f>公交!BQ20+出租!BQ20+网约车!BQ20</f>
        <v>8268.52964049325</v>
      </c>
      <c r="BR11" s="281"/>
      <c r="BS11" s="94">
        <f>公交!BS20+出租!BS20+网约车!BS20</f>
        <v>8466.61183401822</v>
      </c>
      <c r="BT11" s="281"/>
      <c r="BU11" s="282">
        <f t="shared" si="22"/>
        <v>96692.0232112605</v>
      </c>
    </row>
    <row r="12" s="256" customFormat="1" ht="31.2" customHeight="1" spans="1:73">
      <c r="A12" s="283" t="s">
        <v>96</v>
      </c>
      <c r="B12" s="277" t="s">
        <v>193</v>
      </c>
      <c r="C12" s="94">
        <f>公交!C23+出租!C23+网约车!C23</f>
        <v>1964.45596972458</v>
      </c>
      <c r="D12" s="245">
        <f t="shared" si="0"/>
        <v>-0.0798753459219306</v>
      </c>
      <c r="E12" s="94">
        <f>公交!E23+出租!E23+网约车!E23</f>
        <v>1894.42391205535</v>
      </c>
      <c r="F12" s="245">
        <f t="shared" si="1"/>
        <v>0.0918836233546305</v>
      </c>
      <c r="G12" s="94">
        <f>公交!G23+出租!G23+网约车!G23</f>
        <v>2076.09223786216</v>
      </c>
      <c r="H12" s="245">
        <f t="shared" si="2"/>
        <v>0.0986248161951058</v>
      </c>
      <c r="I12" s="94">
        <f>公交!I23+出租!I23+网约车!I23</f>
        <v>2241.32285484435</v>
      </c>
      <c r="J12" s="245">
        <f t="shared" si="3"/>
        <v>0.104917658983446</v>
      </c>
      <c r="K12" s="94">
        <f>公交!K23+出租!K23+网约车!K23</f>
        <v>2267.88087432978</v>
      </c>
      <c r="L12" s="245">
        <f t="shared" si="4"/>
        <v>0.148340011389476</v>
      </c>
      <c r="M12" s="94">
        <f>公交!M23+出租!M23+网约车!M23</f>
        <v>2266.99562856524</v>
      </c>
      <c r="N12" s="245">
        <f t="shared" si="5"/>
        <v>0.173842975922733</v>
      </c>
      <c r="O12" s="94">
        <f>公交!O23+出租!O23+网约车!O23</f>
        <v>2164.99483260279</v>
      </c>
      <c r="P12" s="245">
        <f t="shared" si="6"/>
        <v>0.183178781339669</v>
      </c>
      <c r="Q12" s="175"/>
      <c r="R12" s="127"/>
      <c r="S12" s="278">
        <f t="shared" si="7"/>
        <v>14876.1663099842</v>
      </c>
      <c r="T12" s="279">
        <f t="shared" si="8"/>
        <v>-0.0298062300604405</v>
      </c>
      <c r="U12" s="94"/>
      <c r="V12" s="94">
        <f>公交!V23+出租!V23+网约车!V23</f>
        <v>2134.98895070135</v>
      </c>
      <c r="W12" s="245">
        <f t="shared" si="9"/>
        <v>0.0847705311791109</v>
      </c>
      <c r="X12" s="94">
        <f>公交!X23+出租!X23+网约车!X23</f>
        <v>1735.00533530766</v>
      </c>
      <c r="Y12" s="245">
        <f t="shared" si="10"/>
        <v>-0.0016534002770221</v>
      </c>
      <c r="Z12" s="94">
        <f>公交!Z23+出租!Z23+网约车!Z23</f>
        <v>1889.71904444353</v>
      </c>
      <c r="AA12" s="245">
        <f t="shared" si="11"/>
        <v>-0.0190536129044396</v>
      </c>
      <c r="AB12" s="94">
        <f>公交!AB23+出租!AB23+网约车!AB23</f>
        <v>2028.49763203751</v>
      </c>
      <c r="AC12" s="245">
        <f t="shared" si="12"/>
        <v>0.00231967687252976</v>
      </c>
      <c r="AD12" s="94">
        <f>公交!AD23+出租!AD23+网约车!AD23</f>
        <v>1974.92106156405</v>
      </c>
      <c r="AE12" s="245">
        <f t="shared" si="13"/>
        <v>-0.00555203758505884</v>
      </c>
      <c r="AF12" s="94">
        <f>公交!AF23+出租!AF23+网约车!AF23</f>
        <v>1931.25969577251</v>
      </c>
      <c r="AG12" s="245">
        <f t="shared" si="14"/>
        <v>-0.0641569458408671</v>
      </c>
      <c r="AH12" s="94">
        <f>公交!AH23+出租!AH23+网约车!AH23</f>
        <v>1829.81208482411</v>
      </c>
      <c r="AI12" s="245">
        <f t="shared" si="15"/>
        <v>-0.0991063989655735</v>
      </c>
      <c r="AJ12" s="94">
        <f>公交!AJ23+出租!AJ23+网约车!AJ23</f>
        <v>1808.9871216433</v>
      </c>
      <c r="AK12" s="245">
        <f t="shared" si="16"/>
        <v>-0.0831560078301048</v>
      </c>
      <c r="AL12" s="94">
        <f>公交!AL23+出租!AL23+网约车!AL23</f>
        <v>1834.47507914283</v>
      </c>
      <c r="AM12" s="245">
        <f t="shared" si="17"/>
        <v>-0.0786092094572469</v>
      </c>
      <c r="AN12" s="94">
        <f>公交!AN23+出租!AN23+网约车!AN23</f>
        <v>1883.18225953965</v>
      </c>
      <c r="AO12" s="245">
        <f t="shared" si="18"/>
        <v>-0.0763535263473872</v>
      </c>
      <c r="AP12" s="94">
        <f>公交!AP23+出租!AP23+网约车!AP23</f>
        <v>1925.11475765711</v>
      </c>
      <c r="AQ12" s="245">
        <f t="shared" si="19"/>
        <v>-0.0781372439356486</v>
      </c>
      <c r="AR12" s="94">
        <f>公交!AR23+出租!AR23+网约车!AR23</f>
        <v>1886.39641110522</v>
      </c>
      <c r="AS12" s="245">
        <f t="shared" si="20"/>
        <v>-0.0913919141835952</v>
      </c>
      <c r="AT12" s="94">
        <f t="shared" si="23"/>
        <v>22862.3594337388</v>
      </c>
      <c r="AU12" s="245">
        <f t="shared" si="21"/>
        <v>-0.0435877219657501</v>
      </c>
      <c r="AV12" s="280"/>
      <c r="AW12" s="94">
        <f>公交!AW23+出租!AW23+网约车!AW23</f>
        <v>1968.14799935677</v>
      </c>
      <c r="AX12" s="281"/>
      <c r="AY12" s="94">
        <f>公交!AY23+出租!AY23+网约车!AY23</f>
        <v>1737.87874450526</v>
      </c>
      <c r="AZ12" s="281"/>
      <c r="BA12" s="94">
        <f>公交!BA23+出租!BA23+网约车!BA23</f>
        <v>1926.42438904201</v>
      </c>
      <c r="BB12" s="281"/>
      <c r="BC12" s="94">
        <f>公交!BC23+出租!BC23+网约车!BC23</f>
        <v>2023.80306287799</v>
      </c>
      <c r="BD12" s="281"/>
      <c r="BE12" s="94">
        <f>公交!BE23+出租!BE23+网约车!BE23</f>
        <v>1985.94711458618</v>
      </c>
      <c r="BF12" s="281"/>
      <c r="BG12" s="94">
        <f>公交!BG23+出租!BG23+网约车!BG23</f>
        <v>2063.65766908189</v>
      </c>
      <c r="BH12" s="281"/>
      <c r="BI12" s="94">
        <f>公交!BI23+出租!BI23+网约车!BI23</f>
        <v>2031.10787192081</v>
      </c>
      <c r="BJ12" s="281"/>
      <c r="BK12" s="94">
        <f>公交!BK23+出租!BK23+网约车!BK23</f>
        <v>1973.05881599547</v>
      </c>
      <c r="BL12" s="281"/>
      <c r="BM12" s="94">
        <f>公交!BM23+出租!BM23+网约车!BM23</f>
        <v>1990.98482204518</v>
      </c>
      <c r="BN12" s="281"/>
      <c r="BO12" s="94">
        <f>公交!BO23+出租!BO23+网约车!BO23</f>
        <v>2038.85611352198</v>
      </c>
      <c r="BP12" s="281"/>
      <c r="BQ12" s="94">
        <f>公交!BQ23+出租!BQ23+网约车!BQ23</f>
        <v>2088.28781181688</v>
      </c>
      <c r="BR12" s="281"/>
      <c r="BS12" s="94">
        <f>公交!BS23+出租!BS23+网约车!BS23</f>
        <v>2076.13870111034</v>
      </c>
      <c r="BT12" s="281"/>
      <c r="BU12" s="282">
        <f t="shared" si="22"/>
        <v>23904.2931158608</v>
      </c>
    </row>
    <row r="13" s="256" customFormat="1" ht="31.2" customHeight="1" spans="1:73">
      <c r="A13" s="29"/>
      <c r="B13" s="277" t="s">
        <v>194</v>
      </c>
      <c r="C13" s="94">
        <f>公交!C24+出租!C24+网约车!C24</f>
        <v>7407.5740381209</v>
      </c>
      <c r="D13" s="245">
        <f t="shared" si="0"/>
        <v>-0.0653234326244908</v>
      </c>
      <c r="E13" s="94">
        <f>公交!E24+出租!E24+网约车!E24</f>
        <v>7346.19938780909</v>
      </c>
      <c r="F13" s="245">
        <f t="shared" si="1"/>
        <v>0.124261241658349</v>
      </c>
      <c r="G13" s="94">
        <f>公交!G24+出租!G24+网约车!G24</f>
        <v>7849.83562701575</v>
      </c>
      <c r="H13" s="245">
        <f t="shared" si="2"/>
        <v>0.116983602169983</v>
      </c>
      <c r="I13" s="94">
        <f>公交!I24+出租!I24+网约车!I24</f>
        <v>8312.99178122398</v>
      </c>
      <c r="J13" s="245">
        <f t="shared" si="3"/>
        <v>0.118544745584882</v>
      </c>
      <c r="K13" s="94">
        <f>公交!K24+出租!K24+网约车!K24</f>
        <v>8553.932501693</v>
      </c>
      <c r="L13" s="245">
        <f t="shared" si="4"/>
        <v>0.165945870693585</v>
      </c>
      <c r="M13" s="94">
        <f>公交!M24+出租!M24+网约车!M24</f>
        <v>8449.37349825151</v>
      </c>
      <c r="N13" s="245">
        <f t="shared" si="5"/>
        <v>0.178107636340247</v>
      </c>
      <c r="O13" s="94">
        <f>公交!O24+出租!O24+网约车!O24</f>
        <v>8135.59576972183</v>
      </c>
      <c r="P13" s="245">
        <f t="shared" si="6"/>
        <v>0.189221337829923</v>
      </c>
      <c r="Q13" s="175"/>
      <c r="R13" s="127"/>
      <c r="S13" s="278">
        <f t="shared" si="7"/>
        <v>56055.5026038361</v>
      </c>
      <c r="T13" s="279">
        <f t="shared" si="8"/>
        <v>-0.018277983817895</v>
      </c>
      <c r="U13" s="94"/>
      <c r="V13" s="94">
        <f>公交!V24+出租!V24+网约车!V24</f>
        <v>7925.28056942813</v>
      </c>
      <c r="W13" s="245">
        <f t="shared" si="9"/>
        <v>0.102712095051271</v>
      </c>
      <c r="X13" s="94">
        <f>公交!X24+出租!X24+网约车!X24</f>
        <v>6534.24588129804</v>
      </c>
      <c r="Y13" s="245">
        <f t="shared" si="10"/>
        <v>-0.00625435520091644</v>
      </c>
      <c r="Z13" s="94">
        <f>公交!Z24+出租!Z24+网约车!Z24</f>
        <v>7027.70892228475</v>
      </c>
      <c r="AA13" s="245">
        <f t="shared" si="11"/>
        <v>-0.0100898915602013</v>
      </c>
      <c r="AB13" s="94">
        <f>公交!AB24+出租!AB24+网约车!AB24</f>
        <v>7431.97070482608</v>
      </c>
      <c r="AC13" s="245">
        <f t="shared" si="12"/>
        <v>0.0102191733355901</v>
      </c>
      <c r="AD13" s="94">
        <f>公交!AD24+出租!AD24+网约车!AD24</f>
        <v>7336.47480273208</v>
      </c>
      <c r="AE13" s="245">
        <f t="shared" si="13"/>
        <v>0.00975554069958373</v>
      </c>
      <c r="AF13" s="94">
        <f>公交!AF24+出租!AF24+网约车!AF24</f>
        <v>7171.98771794673</v>
      </c>
      <c r="AG13" s="245">
        <f t="shared" si="14"/>
        <v>-0.0608289404346299</v>
      </c>
      <c r="AH13" s="94">
        <f>公交!AH24+出租!AH24+网约车!AH24</f>
        <v>6841.11149953597</v>
      </c>
      <c r="AI13" s="245">
        <f t="shared" si="15"/>
        <v>-0.0987421404423144</v>
      </c>
      <c r="AJ13" s="94">
        <f>公交!AJ24+出租!AJ24+网约车!AJ24</f>
        <v>6830.38003063177</v>
      </c>
      <c r="AK13" s="245">
        <f t="shared" si="16"/>
        <v>-0.0953979124153532</v>
      </c>
      <c r="AL13" s="94">
        <f>公交!AL24+出租!AL24+网约车!AL24</f>
        <v>6864.51948352364</v>
      </c>
      <c r="AM13" s="245">
        <f t="shared" si="17"/>
        <v>-0.0840346976280829</v>
      </c>
      <c r="AN13" s="94">
        <f>公交!AN24+出租!AN24+网约车!AN24</f>
        <v>7137.50010359996</v>
      </c>
      <c r="AO13" s="245">
        <f t="shared" si="18"/>
        <v>-0.0684300012342253</v>
      </c>
      <c r="AP13" s="94">
        <f>公交!AP24+出租!AP24+网约车!AP24</f>
        <v>7168.08494529797</v>
      </c>
      <c r="AQ13" s="245">
        <f t="shared" si="19"/>
        <v>-0.0746787306142492</v>
      </c>
      <c r="AR13" s="94">
        <f>公交!AR24+出租!AR24+网约车!AR24</f>
        <v>7063.60182237791</v>
      </c>
      <c r="AS13" s="245">
        <f t="shared" si="20"/>
        <v>-0.0978048889021309</v>
      </c>
      <c r="AT13" s="94">
        <f t="shared" si="23"/>
        <v>85332.866483483</v>
      </c>
      <c r="AU13" s="245">
        <f t="shared" si="21"/>
        <v>-0.0411396593532343</v>
      </c>
      <c r="AV13" s="280"/>
      <c r="AW13" s="94">
        <f>公交!AW24+出租!AW24+网约车!AW24</f>
        <v>7187.08047639546</v>
      </c>
      <c r="AX13" s="281"/>
      <c r="AY13" s="94">
        <f>公交!AY24+出租!AY24+网约车!AY24</f>
        <v>6575.37058451123</v>
      </c>
      <c r="AZ13" s="281"/>
      <c r="BA13" s="94">
        <f>公交!BA24+出租!BA24+网约车!BA24</f>
        <v>7099.34049805911</v>
      </c>
      <c r="BB13" s="281"/>
      <c r="BC13" s="94">
        <f>公交!BC24+出租!BC24+网约车!BC24</f>
        <v>7356.79038865085</v>
      </c>
      <c r="BD13" s="281"/>
      <c r="BE13" s="94">
        <f>公交!BE24+出租!BE24+网约车!BE24</f>
        <v>7265.59499505117</v>
      </c>
      <c r="BF13" s="281"/>
      <c r="BG13" s="94">
        <f>公交!BG24+出租!BG24+网约车!BG24</f>
        <v>7636.50843464639</v>
      </c>
      <c r="BH13" s="281"/>
      <c r="BI13" s="94">
        <f>公交!BI24+出租!BI24+网约车!BI24</f>
        <v>7590.62617539159</v>
      </c>
      <c r="BJ13" s="281"/>
      <c r="BK13" s="94">
        <f>公交!BK24+出租!BK24+网约车!BK24</f>
        <v>7550.70115841693</v>
      </c>
      <c r="BL13" s="281"/>
      <c r="BM13" s="94">
        <f>公交!BM24+出租!BM24+网约车!BM24</f>
        <v>7494.3007838264</v>
      </c>
      <c r="BN13" s="281"/>
      <c r="BO13" s="94">
        <f>公交!BO24+出租!BO24+网约车!BO24</f>
        <v>7661.7968730813</v>
      </c>
      <c r="BP13" s="281"/>
      <c r="BQ13" s="94">
        <f>公交!BQ24+出租!BQ24+网约车!BQ24</f>
        <v>7746.59048965372</v>
      </c>
      <c r="BR13" s="281"/>
      <c r="BS13" s="94">
        <f>公交!BS24+出租!BS24+网约车!BS24</f>
        <v>7829.35058668441</v>
      </c>
      <c r="BT13" s="281"/>
      <c r="BU13" s="282">
        <f t="shared" si="22"/>
        <v>88994.0514443686</v>
      </c>
    </row>
    <row r="14" s="256" customFormat="1" ht="31.2" customHeight="1" spans="1:73">
      <c r="A14" s="283" t="s">
        <v>97</v>
      </c>
      <c r="B14" s="277" t="s">
        <v>193</v>
      </c>
      <c r="C14" s="94">
        <f>公交!C27+出租!C27+网约车!C27</f>
        <v>1877.94025728411</v>
      </c>
      <c r="D14" s="245">
        <f t="shared" si="0"/>
        <v>-0.243632900314672</v>
      </c>
      <c r="E14" s="94">
        <f>公交!E27+出租!E27+网约车!E27</f>
        <v>1886.85036648426</v>
      </c>
      <c r="F14" s="245">
        <f t="shared" si="1"/>
        <v>-0.125661789474943</v>
      </c>
      <c r="G14" s="94">
        <f>公交!G27+出租!G27+网约车!G27</f>
        <v>1881.05999095817</v>
      </c>
      <c r="H14" s="245">
        <f t="shared" si="2"/>
        <v>-0.0477953007648353</v>
      </c>
      <c r="I14" s="94">
        <f>公交!I27+出租!I27+网约车!I27</f>
        <v>1863.19792683448</v>
      </c>
      <c r="J14" s="245">
        <f t="shared" si="3"/>
        <v>0.0192788425581889</v>
      </c>
      <c r="K14" s="94">
        <f>公交!K27+出租!K27+网约车!K27</f>
        <v>1971.74195150153</v>
      </c>
      <c r="L14" s="245">
        <f t="shared" si="4"/>
        <v>0.0303476958320981</v>
      </c>
      <c r="M14" s="94">
        <f>公交!M27+出租!M27+网约车!M27</f>
        <v>1978.72022135464</v>
      </c>
      <c r="N14" s="245">
        <f t="shared" si="5"/>
        <v>0.111423540358544</v>
      </c>
      <c r="O14" s="94">
        <f>公交!O27+出租!O27+网约车!O27</f>
        <v>1798.46072832929</v>
      </c>
      <c r="P14" s="245">
        <f t="shared" si="6"/>
        <v>0.0282629732313815</v>
      </c>
      <c r="Q14" s="175"/>
      <c r="R14" s="127"/>
      <c r="S14" s="278">
        <f t="shared" si="7"/>
        <v>13257.9714427465</v>
      </c>
      <c r="T14" s="279">
        <f t="shared" si="8"/>
        <v>-0.155343123574722</v>
      </c>
      <c r="U14" s="94"/>
      <c r="V14" s="94">
        <f>公交!V27+出租!V27+网约车!V27</f>
        <v>2482.84233683008</v>
      </c>
      <c r="W14" s="245">
        <f t="shared" si="9"/>
        <v>-0.00660413097475654</v>
      </c>
      <c r="X14" s="94">
        <f>公交!X27+出租!X27+网约车!X27</f>
        <v>2158.03260542756</v>
      </c>
      <c r="Y14" s="245">
        <f t="shared" si="10"/>
        <v>-0.00211751936983084</v>
      </c>
      <c r="Z14" s="94">
        <f>公交!Z27+出租!Z27+网约车!Z27</f>
        <v>1975.4785840367</v>
      </c>
      <c r="AA14" s="245">
        <f t="shared" si="11"/>
        <v>-0.0397303392717608</v>
      </c>
      <c r="AB14" s="94">
        <f>公交!AB27+出租!AB27+网约车!AB27</f>
        <v>1827.95703103012</v>
      </c>
      <c r="AC14" s="245">
        <f t="shared" si="12"/>
        <v>-0.136357137629888</v>
      </c>
      <c r="AD14" s="94">
        <f>公交!AD27+出租!AD27+网约车!AD27</f>
        <v>1913.66658020152</v>
      </c>
      <c r="AE14" s="245">
        <f t="shared" si="13"/>
        <v>-0.130556083264016</v>
      </c>
      <c r="AF14" s="94">
        <f>公交!AF27+出租!AF27+网约车!AF27</f>
        <v>1780.34758982728</v>
      </c>
      <c r="AG14" s="245">
        <f t="shared" si="14"/>
        <v>-0.150856979830722</v>
      </c>
      <c r="AH14" s="94">
        <f>公交!AH27+出租!AH27+网约车!AH27</f>
        <v>1749.02799687274</v>
      </c>
      <c r="AI14" s="245">
        <f t="shared" si="15"/>
        <v>-0.152990401305628</v>
      </c>
      <c r="AJ14" s="94">
        <f>公交!AJ27+出租!AJ27+网约车!AJ27</f>
        <v>1808.92799375775</v>
      </c>
      <c r="AK14" s="245">
        <f t="shared" si="16"/>
        <v>-0.137541412210136</v>
      </c>
      <c r="AL14" s="94">
        <f>公交!AL27+出租!AL27+网约车!AL27</f>
        <v>1774.31132671295</v>
      </c>
      <c r="AM14" s="245">
        <f t="shared" si="17"/>
        <v>-0.147782503572983</v>
      </c>
      <c r="AN14" s="94">
        <f>公交!AN27+出租!AN27+网约车!AN27</f>
        <v>1945.21651678819</v>
      </c>
      <c r="AO14" s="245">
        <f t="shared" si="18"/>
        <v>-0.12818573355853</v>
      </c>
      <c r="AP14" s="94">
        <f>公交!AP27+出租!AP27+网约车!AP27</f>
        <v>2124.85977963553</v>
      </c>
      <c r="AQ14" s="245">
        <f t="shared" si="19"/>
        <v>-0.132490700383621</v>
      </c>
      <c r="AR14" s="94">
        <f>公交!AR27+出租!AR27+网约车!AR27</f>
        <v>1742.40837180781</v>
      </c>
      <c r="AS14" s="245">
        <f t="shared" si="20"/>
        <v>-0.460701234663264</v>
      </c>
      <c r="AT14" s="94">
        <f t="shared" si="23"/>
        <v>23283.0767129282</v>
      </c>
      <c r="AU14" s="245">
        <f t="shared" si="21"/>
        <v>-0.146803615212172</v>
      </c>
      <c r="AV14" s="280"/>
      <c r="AW14" s="94">
        <f>公交!AW27+出租!AW27+网约车!AW27</f>
        <v>2499.34836075606</v>
      </c>
      <c r="AX14" s="281"/>
      <c r="AY14" s="94">
        <f>公交!AY27+出租!AY27+网约车!AY27</f>
        <v>2162.61197818078</v>
      </c>
      <c r="AZ14" s="281"/>
      <c r="BA14" s="94">
        <f>公交!BA27+出租!BA27+网约车!BA27</f>
        <v>2057.21232777318</v>
      </c>
      <c r="BB14" s="281"/>
      <c r="BC14" s="94">
        <f>公交!BC27+出租!BC27+网约车!BC27</f>
        <v>2116.56589856323</v>
      </c>
      <c r="BD14" s="281"/>
      <c r="BE14" s="94">
        <f>公交!BE27+出租!BE27+网约车!BE27</f>
        <v>2201.02360067766</v>
      </c>
      <c r="BF14" s="281"/>
      <c r="BG14" s="94">
        <f>公交!BG27+出租!BG27+网约车!BG27</f>
        <v>2096.64043340116</v>
      </c>
      <c r="BH14" s="281"/>
      <c r="BI14" s="94">
        <f>公交!BI27+出租!BI27+网约车!BI27</f>
        <v>2064.9447179451</v>
      </c>
      <c r="BJ14" s="281"/>
      <c r="BK14" s="94">
        <f>公交!BK27+出租!BK27+网约车!BK27</f>
        <v>2097.40852415107</v>
      </c>
      <c r="BL14" s="281"/>
      <c r="BM14" s="94">
        <f>公交!BM27+出租!BM27+网约车!BM27</f>
        <v>2081.99354525327</v>
      </c>
      <c r="BN14" s="281"/>
      <c r="BO14" s="94">
        <f>公交!BO27+出租!BO27+网约车!BO27</f>
        <v>2231.22813156991</v>
      </c>
      <c r="BP14" s="281"/>
      <c r="BQ14" s="94">
        <f>公交!BQ27+出租!BQ27+网约车!BQ27</f>
        <v>2449.37982863718</v>
      </c>
      <c r="BR14" s="281"/>
      <c r="BS14" s="94">
        <f>公交!BS27+出租!BS27+网约车!BS27</f>
        <v>3230.87773197453</v>
      </c>
      <c r="BT14" s="281"/>
      <c r="BU14" s="282">
        <f t="shared" si="22"/>
        <v>27289.2350788831</v>
      </c>
    </row>
    <row r="15" s="256" customFormat="1" ht="31.2" customHeight="1" spans="1:73">
      <c r="A15" s="29"/>
      <c r="B15" s="277" t="s">
        <v>194</v>
      </c>
      <c r="C15" s="94">
        <f>公交!C28+出租!C28+网约车!C28</f>
        <v>9039.15840090854</v>
      </c>
      <c r="D15" s="245">
        <f t="shared" si="0"/>
        <v>-0.363491315870315</v>
      </c>
      <c r="E15" s="94">
        <f>公交!E28+出租!E28+网约车!E28</f>
        <v>9221.28816105852</v>
      </c>
      <c r="F15" s="245">
        <f t="shared" si="1"/>
        <v>-0.250194477710838</v>
      </c>
      <c r="G15" s="94">
        <f>公交!G28+出租!G28+网约车!G28</f>
        <v>9118.89144466427</v>
      </c>
      <c r="H15" s="245">
        <f t="shared" si="2"/>
        <v>-0.050718535820917</v>
      </c>
      <c r="I15" s="94">
        <f>公交!I28+出租!I28+网约车!I28</f>
        <v>9058.89276064865</v>
      </c>
      <c r="J15" s="245">
        <f t="shared" si="3"/>
        <v>0.0226817801433772</v>
      </c>
      <c r="K15" s="94">
        <f>公交!K28+出租!K28+网约车!K28</f>
        <v>9610.51582027806</v>
      </c>
      <c r="L15" s="245">
        <f t="shared" si="4"/>
        <v>0.0389489311650364</v>
      </c>
      <c r="M15" s="94">
        <f>公交!M28+出租!M28+网约车!M28</f>
        <v>9628.75088488899</v>
      </c>
      <c r="N15" s="245">
        <f t="shared" si="5"/>
        <v>0.117035538185615</v>
      </c>
      <c r="O15" s="94">
        <f>公交!O28+出租!O28+网约车!O28</f>
        <v>8693.76796187168</v>
      </c>
      <c r="P15" s="245">
        <f t="shared" si="6"/>
        <v>0.0300661593028826</v>
      </c>
      <c r="Q15" s="175"/>
      <c r="R15" s="127"/>
      <c r="S15" s="278">
        <f t="shared" si="7"/>
        <v>64371.2654343187</v>
      </c>
      <c r="T15" s="279">
        <f t="shared" si="8"/>
        <v>-0.195348624921851</v>
      </c>
      <c r="U15" s="94"/>
      <c r="V15" s="94">
        <f>公交!V28+出租!V28+网约车!V28</f>
        <v>14201.1548723299</v>
      </c>
      <c r="W15" s="245">
        <f t="shared" si="9"/>
        <v>-0.0129704365177941</v>
      </c>
      <c r="X15" s="94">
        <f>公交!X28+出租!X28+网约车!X28</f>
        <v>12298.2398594583</v>
      </c>
      <c r="Y15" s="245">
        <f t="shared" si="10"/>
        <v>-0.0148053965718009</v>
      </c>
      <c r="Z15" s="94">
        <f>公交!Z28+出租!Z28+网约车!Z28</f>
        <v>9606.09870598293</v>
      </c>
      <c r="AA15" s="245">
        <f t="shared" si="11"/>
        <v>-0.18103841792886</v>
      </c>
      <c r="AB15" s="94">
        <f>公交!AB28+出租!AB28+网约车!AB28</f>
        <v>8857.97805000361</v>
      </c>
      <c r="AC15" s="245">
        <f t="shared" si="12"/>
        <v>-0.268655313622363</v>
      </c>
      <c r="AD15" s="94">
        <f>公交!AD28+出租!AD28+网约车!AD28</f>
        <v>9250.22927691086</v>
      </c>
      <c r="AE15" s="245">
        <f t="shared" si="13"/>
        <v>-0.269872746452984</v>
      </c>
      <c r="AF15" s="94">
        <f>公交!AF28+出租!AF28+网约车!AF28</f>
        <v>8619.91454679126</v>
      </c>
      <c r="AG15" s="245">
        <f t="shared" si="14"/>
        <v>-0.285504999821857</v>
      </c>
      <c r="AH15" s="94">
        <f>公交!AH28+出租!AH28+网约车!AH28</f>
        <v>8440.00929780603</v>
      </c>
      <c r="AI15" s="245">
        <f t="shared" si="15"/>
        <v>-0.288834188655696</v>
      </c>
      <c r="AJ15" s="94">
        <f>公交!AJ28+出租!AJ28+网约车!AJ28</f>
        <v>8725.32577847587</v>
      </c>
      <c r="AK15" s="245">
        <f t="shared" si="16"/>
        <v>-0.278490020284747</v>
      </c>
      <c r="AL15" s="94">
        <f>公交!AL28+出租!AL28+网约车!AL28</f>
        <v>8558.36679003448</v>
      </c>
      <c r="AM15" s="245">
        <f t="shared" si="17"/>
        <v>-0.287236058766283</v>
      </c>
      <c r="AN15" s="94">
        <f>公交!AN28+出租!AN28+网约车!AN28</f>
        <v>9444.65578702634</v>
      </c>
      <c r="AO15" s="245">
        <f t="shared" si="18"/>
        <v>-0.26736521395628</v>
      </c>
      <c r="AP15" s="94">
        <f>公交!AP28+出租!AP28+网约车!AP28</f>
        <v>10395.1908369041</v>
      </c>
      <c r="AQ15" s="245">
        <f t="shared" si="19"/>
        <v>-0.272363798029326</v>
      </c>
      <c r="AR15" s="94">
        <f>公交!AR28+出租!AR28+网约车!AR28</f>
        <v>8513.89420554728</v>
      </c>
      <c r="AS15" s="245">
        <f t="shared" si="20"/>
        <v>-0.554928744492571</v>
      </c>
      <c r="AT15" s="94">
        <f t="shared" si="23"/>
        <v>116911.058007271</v>
      </c>
      <c r="AU15" s="245">
        <f t="shared" si="21"/>
        <v>-0.25874863122881</v>
      </c>
      <c r="AV15" s="280"/>
      <c r="AW15" s="94">
        <f>公交!AW28+出租!AW28+网约车!AW28</f>
        <v>14387.7705367088</v>
      </c>
      <c r="AX15" s="281"/>
      <c r="AY15" s="94">
        <f>公交!AY28+出租!AY28+网约车!AY28</f>
        <v>12483.0564607884</v>
      </c>
      <c r="AZ15" s="281"/>
      <c r="BA15" s="94">
        <f>公交!BA28+出租!BA28+网约车!BA28</f>
        <v>11729.6084655025</v>
      </c>
      <c r="BB15" s="281"/>
      <c r="BC15" s="94">
        <f>公交!BC28+出租!BC28+网约车!BC28</f>
        <v>12111.905938467</v>
      </c>
      <c r="BD15" s="281"/>
      <c r="BE15" s="94">
        <f>公交!BE28+出租!BE28+网约车!BE28</f>
        <v>12669.3384365157</v>
      </c>
      <c r="BF15" s="281"/>
      <c r="BG15" s="94">
        <f>公交!BG28+出租!BG28+网约车!BG28</f>
        <v>12064.3455092647</v>
      </c>
      <c r="BH15" s="281"/>
      <c r="BI15" s="94">
        <f>公交!BI28+出租!BI28+网约车!BI28</f>
        <v>11867.8501738603</v>
      </c>
      <c r="BJ15" s="281"/>
      <c r="BK15" s="94">
        <f>公交!BK28+出租!BK28+网约车!BK28</f>
        <v>12093.1463511002</v>
      </c>
      <c r="BL15" s="281"/>
      <c r="BM15" s="94">
        <f>公交!BM28+出租!BM28+网约车!BM28</f>
        <v>12007.2948348381</v>
      </c>
      <c r="BN15" s="281"/>
      <c r="BO15" s="94">
        <f>公交!BO28+出租!BO28+网约车!BO28</f>
        <v>12891.3559210424</v>
      </c>
      <c r="BP15" s="281"/>
      <c r="BQ15" s="94">
        <f>公交!BQ28+出租!BQ28+网约车!BQ28</f>
        <v>14286.2474527114</v>
      </c>
      <c r="BR15" s="281"/>
      <c r="BS15" s="94">
        <f>公交!BS28+出租!BS28+网约车!BS28</f>
        <v>19129.2834578601</v>
      </c>
      <c r="BT15" s="281"/>
      <c r="BU15" s="282">
        <f t="shared" si="22"/>
        <v>157721.20353866</v>
      </c>
    </row>
    <row r="16" s="256" customFormat="1" ht="31.2" customHeight="1" spans="1:73">
      <c r="A16" s="283" t="s">
        <v>98</v>
      </c>
      <c r="B16" s="277" t="s">
        <v>193</v>
      </c>
      <c r="C16" s="94">
        <f>公交!C31+出租!C31+网约车!C31</f>
        <v>363.812765745632</v>
      </c>
      <c r="D16" s="245">
        <f t="shared" si="0"/>
        <v>0.101183197686509</v>
      </c>
      <c r="E16" s="94">
        <f>公交!E31+出租!E31+网约车!E31</f>
        <v>325.022588241674</v>
      </c>
      <c r="F16" s="245">
        <f t="shared" si="1"/>
        <v>-0.00492659038551846</v>
      </c>
      <c r="G16" s="94">
        <f>公交!G31+出租!G31+网约车!G31</f>
        <v>310.321341344147</v>
      </c>
      <c r="H16" s="245">
        <f t="shared" si="2"/>
        <v>-0.147170830438958</v>
      </c>
      <c r="I16" s="94">
        <f>公交!I31+出租!I31+网约车!I31</f>
        <v>294.29910362683</v>
      </c>
      <c r="J16" s="245">
        <f t="shared" si="3"/>
        <v>-0.148364832320639</v>
      </c>
      <c r="K16" s="94">
        <f>公交!K31+出租!K31+网约车!K31</f>
        <v>292.252041447906</v>
      </c>
      <c r="L16" s="245">
        <f t="shared" si="4"/>
        <v>-0.130360722028467</v>
      </c>
      <c r="M16" s="94">
        <f>公交!M31+出租!M31+网约车!M31</f>
        <v>269.282664336087</v>
      </c>
      <c r="N16" s="245">
        <f t="shared" si="5"/>
        <v>-0.217823367216015</v>
      </c>
      <c r="O16" s="94">
        <f>公交!O31+出租!O31+网约车!O31</f>
        <v>257.382622604331</v>
      </c>
      <c r="P16" s="245">
        <f t="shared" si="6"/>
        <v>-0.191863671836433</v>
      </c>
      <c r="Q16" s="175"/>
      <c r="R16" s="127"/>
      <c r="S16" s="278">
        <f t="shared" si="7"/>
        <v>2112.37312734661</v>
      </c>
      <c r="T16" s="279">
        <f t="shared" si="8"/>
        <v>-0.211262425871917</v>
      </c>
      <c r="U16" s="94"/>
      <c r="V16" s="94">
        <f>公交!V31+出租!V31+网约车!V31</f>
        <v>330.383506132287</v>
      </c>
      <c r="W16" s="245">
        <f t="shared" si="9"/>
        <v>-0.036648657353514</v>
      </c>
      <c r="X16" s="94">
        <f>公交!X31+出租!X31+网约车!X31</f>
        <v>326.631769175298</v>
      </c>
      <c r="Y16" s="245">
        <f t="shared" si="10"/>
        <v>-0.0503265388806621</v>
      </c>
      <c r="Z16" s="94">
        <f>公交!Z31+出租!Z31+网约车!Z31</f>
        <v>363.872804097299</v>
      </c>
      <c r="AA16" s="245">
        <f t="shared" si="11"/>
        <v>0.0743514442811763</v>
      </c>
      <c r="AB16" s="94">
        <f>公交!AB31+出租!AB31+网约车!AB31</f>
        <v>345.569458373557</v>
      </c>
      <c r="AC16" s="245">
        <f t="shared" si="12"/>
        <v>-0.0235258646514355</v>
      </c>
      <c r="AD16" s="94">
        <f>公交!AD31+出租!AD31+网约车!AD31</f>
        <v>336.061225442341</v>
      </c>
      <c r="AE16" s="245">
        <f t="shared" si="13"/>
        <v>-0.0677305264909469</v>
      </c>
      <c r="AF16" s="94">
        <f>公交!AF31+出租!AF31+网约车!AF31</f>
        <v>344.273471041489</v>
      </c>
      <c r="AG16" s="245">
        <f t="shared" si="14"/>
        <v>-0.0346467739480327</v>
      </c>
      <c r="AH16" s="94">
        <f>公交!AH31+出租!AH31+网约车!AH31</f>
        <v>318.489113327221</v>
      </c>
      <c r="AI16" s="245">
        <f t="shared" si="15"/>
        <v>-0.0757910867696584</v>
      </c>
      <c r="AJ16" s="94">
        <f>公交!AJ31+出租!AJ31+网约车!AJ31</f>
        <v>312.888422224946</v>
      </c>
      <c r="AK16" s="245">
        <f t="shared" si="16"/>
        <v>-0.00481012085372834</v>
      </c>
      <c r="AL16" s="94">
        <f>公交!AL31+出租!AL31+网约车!AL31</f>
        <v>329.228201778756</v>
      </c>
      <c r="AM16" s="245">
        <f t="shared" si="17"/>
        <v>-0.0257541715083006</v>
      </c>
      <c r="AN16" s="94">
        <f>公交!AN31+出租!AN31+网约车!AN31</f>
        <v>362.38038708477</v>
      </c>
      <c r="AO16" s="245">
        <f t="shared" si="18"/>
        <v>-0.0175655223614366</v>
      </c>
      <c r="AP16" s="94">
        <f>公交!AP31+出租!AP31+网约车!AP31</f>
        <v>340.326979787192</v>
      </c>
      <c r="AQ16" s="245">
        <f t="shared" si="19"/>
        <v>-0.0189042087786524</v>
      </c>
      <c r="AR16" s="94">
        <f>公交!AR31+出租!AR31+网约车!AR31</f>
        <v>371.41844857677</v>
      </c>
      <c r="AS16" s="245">
        <f t="shared" si="20"/>
        <v>0.0511916836940214</v>
      </c>
      <c r="AT16" s="94">
        <f t="shared" si="23"/>
        <v>4081.52378704193</v>
      </c>
      <c r="AU16" s="245">
        <f t="shared" si="21"/>
        <v>-0.0194771981225395</v>
      </c>
      <c r="AV16" s="280"/>
      <c r="AW16" s="94">
        <f>公交!AW31+出租!AW31+网约车!AW31</f>
        <v>342.952245464951</v>
      </c>
      <c r="AX16" s="281"/>
      <c r="AY16" s="94">
        <f>公交!AY31+出租!AY31+网约车!AY31</f>
        <v>343.94113613569</v>
      </c>
      <c r="AZ16" s="281"/>
      <c r="BA16" s="94">
        <f>公交!BA31+出租!BA31+网约车!BA31</f>
        <v>338.690664059895</v>
      </c>
      <c r="BB16" s="281"/>
      <c r="BC16" s="94">
        <f>公交!BC31+出租!BC31+网约车!BC31</f>
        <v>353.895147719609</v>
      </c>
      <c r="BD16" s="281"/>
      <c r="BE16" s="94">
        <f>公交!BE31+出租!BE31+网约车!BE31</f>
        <v>360.476487744911</v>
      </c>
      <c r="BF16" s="281"/>
      <c r="BG16" s="94">
        <f>公交!BG31+出租!BG31+网约车!BG31</f>
        <v>356.629533885202</v>
      </c>
      <c r="BH16" s="281"/>
      <c r="BI16" s="94">
        <f>公交!BI31+出租!BI31+网约车!BI31</f>
        <v>344.607273061263</v>
      </c>
      <c r="BJ16" s="281"/>
      <c r="BK16" s="94">
        <f>公交!BK31+出租!BK31+网约车!BK31</f>
        <v>314.400727721788</v>
      </c>
      <c r="BL16" s="281"/>
      <c r="BM16" s="94">
        <f>公交!BM31+出租!BM31+网约车!BM31</f>
        <v>337.931343558799</v>
      </c>
      <c r="BN16" s="281"/>
      <c r="BO16" s="94">
        <f>公交!BO31+出租!BO31+网约车!BO31</f>
        <v>368.859598612427</v>
      </c>
      <c r="BP16" s="281"/>
      <c r="BQ16" s="94">
        <f>公交!BQ31+出租!BQ31+网约车!BQ31</f>
        <v>346.884557891666</v>
      </c>
      <c r="BR16" s="281"/>
      <c r="BS16" s="94">
        <f>公交!BS31+出租!BS31+网约车!BS31</f>
        <v>353.330847587719</v>
      </c>
      <c r="BT16" s="281"/>
      <c r="BU16" s="282">
        <f t="shared" si="22"/>
        <v>4162.59956344392</v>
      </c>
    </row>
    <row r="17" s="256" customFormat="1" ht="31.2" customHeight="1" spans="1:73">
      <c r="A17" s="29"/>
      <c r="B17" s="277" t="s">
        <v>194</v>
      </c>
      <c r="C17" s="94">
        <f>公交!C32+出租!C32+网约车!C32</f>
        <v>1846.94368206099</v>
      </c>
      <c r="D17" s="245">
        <f t="shared" si="0"/>
        <v>-0.00374293329957609</v>
      </c>
      <c r="E17" s="94">
        <f>公交!E32+出租!E32+网约车!E32</f>
        <v>1695.35484774396</v>
      </c>
      <c r="F17" s="245">
        <f t="shared" si="1"/>
        <v>-0.0227610545803035</v>
      </c>
      <c r="G17" s="94">
        <f>公交!G32+出租!G32+网约车!G32</f>
        <v>1627.70508823669</v>
      </c>
      <c r="H17" s="245">
        <f t="shared" si="2"/>
        <v>-0.133557785986369</v>
      </c>
      <c r="I17" s="94">
        <f>公交!I32+出租!I32+网约车!I32</f>
        <v>1545.86219762451</v>
      </c>
      <c r="J17" s="245">
        <f t="shared" si="3"/>
        <v>-0.102278160646596</v>
      </c>
      <c r="K17" s="94">
        <f>公交!K32+出租!K32+网约车!K32</f>
        <v>1560.08757848193</v>
      </c>
      <c r="L17" s="245">
        <f t="shared" si="4"/>
        <v>-0.0290291577673419</v>
      </c>
      <c r="M17" s="94">
        <f>公交!M32+出租!M32+网约车!M32</f>
        <v>1426.38154769603</v>
      </c>
      <c r="N17" s="245">
        <f t="shared" si="5"/>
        <v>-0.203848616625592</v>
      </c>
      <c r="O17" s="94">
        <f>公交!O32+出租!O32+网约车!O32</f>
        <v>1355.92771983529</v>
      </c>
      <c r="P17" s="245">
        <f t="shared" si="6"/>
        <v>-0.138498984598711</v>
      </c>
      <c r="Q17" s="175"/>
      <c r="R17" s="127"/>
      <c r="S17" s="278">
        <f t="shared" si="7"/>
        <v>11058.2626616794</v>
      </c>
      <c r="T17" s="279">
        <f t="shared" si="8"/>
        <v>-0.192699416340051</v>
      </c>
      <c r="U17" s="94"/>
      <c r="V17" s="94">
        <f>公交!V32+出租!V32+网约车!V32</f>
        <v>1853.88264113199</v>
      </c>
      <c r="W17" s="245">
        <f t="shared" si="9"/>
        <v>0.00658559548938431</v>
      </c>
      <c r="X17" s="94">
        <f>公交!X32+出租!X32+网约车!X32</f>
        <v>1734.8416737688</v>
      </c>
      <c r="Y17" s="245">
        <f t="shared" si="10"/>
        <v>-0.103829828382145</v>
      </c>
      <c r="Z17" s="94">
        <f>公交!Z32+出租!Z32+网约车!Z32</f>
        <v>1878.60778469767</v>
      </c>
      <c r="AA17" s="245">
        <f t="shared" si="11"/>
        <v>0.0401980719196198</v>
      </c>
      <c r="AB17" s="94">
        <f>公交!AB32+出租!AB32+网约车!AB32</f>
        <v>1721.9835029723</v>
      </c>
      <c r="AC17" s="245">
        <f t="shared" si="12"/>
        <v>-0.127691716091396</v>
      </c>
      <c r="AD17" s="94">
        <f>公交!AD32+出租!AD32+网约车!AD32</f>
        <v>1606.72958509718</v>
      </c>
      <c r="AE17" s="245">
        <f t="shared" si="13"/>
        <v>-0.175671259720912</v>
      </c>
      <c r="AF17" s="94">
        <f>公交!AF32+出租!AF32+网约车!AF32</f>
        <v>1791.59589178939</v>
      </c>
      <c r="AG17" s="245">
        <f t="shared" si="14"/>
        <v>-0.0393018053998206</v>
      </c>
      <c r="AH17" s="94">
        <f>公交!AH32+出租!AH32+网约车!AH32</f>
        <v>1573.91308378632</v>
      </c>
      <c r="AI17" s="245">
        <f t="shared" si="15"/>
        <v>-0.0938849275889588</v>
      </c>
      <c r="AJ17" s="94">
        <f>公交!AJ32+出租!AJ32+网约车!AJ32</f>
        <v>1536.27151098796</v>
      </c>
      <c r="AK17" s="245">
        <f t="shared" si="16"/>
        <v>0.0473587259395976</v>
      </c>
      <c r="AL17" s="94">
        <f>公交!AL32+出租!AL32+网约车!AL32</f>
        <v>1632.85985328886</v>
      </c>
      <c r="AM17" s="245">
        <f t="shared" si="17"/>
        <v>0.065641839175528</v>
      </c>
      <c r="AN17" s="94">
        <f>公交!AN32+出租!AN32+网约车!AN32</f>
        <v>1810.08130751953</v>
      </c>
      <c r="AO17" s="245">
        <f t="shared" si="18"/>
        <v>-0.000772366407803093</v>
      </c>
      <c r="AP17" s="94">
        <f>公交!AP32+出租!AP32+网约车!AP32</f>
        <v>1701.74877914227</v>
      </c>
      <c r="AQ17" s="245">
        <f t="shared" si="19"/>
        <v>0.0391166256147875</v>
      </c>
      <c r="AR17" s="94">
        <f>公交!AR32+出租!AR32+网约车!AR32</f>
        <v>1891.64964725805</v>
      </c>
      <c r="AS17" s="245">
        <f t="shared" si="20"/>
        <v>0.202368868070425</v>
      </c>
      <c r="AT17" s="94">
        <f t="shared" si="23"/>
        <v>20734.1652614403</v>
      </c>
      <c r="AU17" s="245">
        <f t="shared" si="21"/>
        <v>-0.0187423339163506</v>
      </c>
      <c r="AV17" s="280"/>
      <c r="AW17" s="94">
        <f>公交!AW32+出租!AW32+网约车!AW32</f>
        <v>1841.75359695135</v>
      </c>
      <c r="AX17" s="281"/>
      <c r="AY17" s="94">
        <f>公交!AY32+出租!AY32+网约车!AY32</f>
        <v>1935.83956341338</v>
      </c>
      <c r="AZ17" s="281"/>
      <c r="BA17" s="94">
        <f>公交!BA32+出租!BA32+网约车!BA32</f>
        <v>1806.00967778264</v>
      </c>
      <c r="BB17" s="281"/>
      <c r="BC17" s="94">
        <f>公交!BC32+出租!BC32+网约车!BC32</f>
        <v>1974.0538233301</v>
      </c>
      <c r="BD17" s="281"/>
      <c r="BE17" s="94">
        <f>公交!BE32+出租!BE32+网约车!BE32</f>
        <v>1949.13692388451</v>
      </c>
      <c r="BF17" s="281"/>
      <c r="BG17" s="94">
        <f>公交!BG32+出租!BG32+网约车!BG32</f>
        <v>1864.88941257459</v>
      </c>
      <c r="BH17" s="281"/>
      <c r="BI17" s="94">
        <f>公交!BI32+出租!BI32+网约车!BI32</f>
        <v>1736.99029152927</v>
      </c>
      <c r="BJ17" s="281"/>
      <c r="BK17" s="94">
        <f>公交!BK32+出租!BK32+网约车!BK32</f>
        <v>1466.80547260419</v>
      </c>
      <c r="BL17" s="281"/>
      <c r="BM17" s="94">
        <f>公交!BM32+出租!BM32+网约车!BM32</f>
        <v>1532.27828831513</v>
      </c>
      <c r="BN17" s="281"/>
      <c r="BO17" s="94">
        <f>公交!BO32+出租!BO32+网约车!BO32</f>
        <v>1811.48043415526</v>
      </c>
      <c r="BP17" s="281"/>
      <c r="BQ17" s="94">
        <f>公交!BQ32+出租!BQ32+网约车!BQ32</f>
        <v>1637.68795262556</v>
      </c>
      <c r="BR17" s="281"/>
      <c r="BS17" s="94">
        <f>公交!BS32+出租!BS32+网约车!BS32</f>
        <v>1573.26898383006</v>
      </c>
      <c r="BT17" s="281"/>
      <c r="BU17" s="282">
        <f t="shared" si="22"/>
        <v>21130.194420996</v>
      </c>
    </row>
    <row r="18" s="256" customFormat="1" ht="31.2" customHeight="1" spans="1:73">
      <c r="A18" s="283" t="s">
        <v>99</v>
      </c>
      <c r="B18" s="277" t="s">
        <v>193</v>
      </c>
      <c r="C18" s="94">
        <f>公交!C35+出租!C35+网约车!C35</f>
        <v>967.055440896573</v>
      </c>
      <c r="D18" s="245">
        <f t="shared" si="0"/>
        <v>-0.00981900584267181</v>
      </c>
      <c r="E18" s="94">
        <f>公交!E35+出租!E35+网约车!E35</f>
        <v>896.029643513771</v>
      </c>
      <c r="F18" s="245">
        <f t="shared" si="1"/>
        <v>-0.0445662903693071</v>
      </c>
      <c r="G18" s="94">
        <f>公交!G35+出租!G35+网约车!G35</f>
        <v>942.046302868706</v>
      </c>
      <c r="H18" s="245">
        <f t="shared" si="2"/>
        <v>0.0236444023417994</v>
      </c>
      <c r="I18" s="94">
        <f>公交!I35+出租!I35+网约车!I35</f>
        <v>969.364184445751</v>
      </c>
      <c r="J18" s="245">
        <f t="shared" si="3"/>
        <v>0.00995776479492139</v>
      </c>
      <c r="K18" s="94">
        <f>公交!K35+出租!K35+网约车!K35</f>
        <v>966.21488957963</v>
      </c>
      <c r="L18" s="245">
        <f t="shared" si="4"/>
        <v>0.0595474918793193</v>
      </c>
      <c r="M18" s="94">
        <f>公交!M35+出租!M35+网约车!M35</f>
        <v>947.543400464734</v>
      </c>
      <c r="N18" s="245">
        <f t="shared" si="5"/>
        <v>0.0243322178411765</v>
      </c>
      <c r="O18" s="94">
        <f>公交!O35+出租!O35+网约车!O35</f>
        <v>937.289360187212</v>
      </c>
      <c r="P18" s="245">
        <f t="shared" si="6"/>
        <v>0.0565357125915023</v>
      </c>
      <c r="Q18" s="175"/>
      <c r="R18" s="127"/>
      <c r="S18" s="278">
        <f t="shared" si="7"/>
        <v>6625.54322195638</v>
      </c>
      <c r="T18" s="279">
        <f t="shared" si="8"/>
        <v>-0.102533708844137</v>
      </c>
      <c r="U18" s="94"/>
      <c r="V18" s="94">
        <f>公交!V35+出租!V35+网约车!V35</f>
        <v>976.64512508601</v>
      </c>
      <c r="W18" s="245">
        <f t="shared" si="9"/>
        <v>-0.0939265317849433</v>
      </c>
      <c r="X18" s="94">
        <f>公交!X35+出租!X35+网约车!X35</f>
        <v>937.825025935202</v>
      </c>
      <c r="Y18" s="245">
        <f t="shared" si="10"/>
        <v>-0.0133307331753491</v>
      </c>
      <c r="Z18" s="94">
        <f>公交!Z35+出租!Z35+网约车!Z35</f>
        <v>920.286674467793</v>
      </c>
      <c r="AA18" s="245">
        <f t="shared" si="11"/>
        <v>-0.0802982668483627</v>
      </c>
      <c r="AB18" s="94">
        <f>公交!AB35+出租!AB35+网约车!AB35</f>
        <v>959.806655521468</v>
      </c>
      <c r="AC18" s="245">
        <f t="shared" si="12"/>
        <v>-0.0270787806815311</v>
      </c>
      <c r="AD18" s="94">
        <f>公交!AD35+出租!AD35+网约车!AD35</f>
        <v>911.912771239593</v>
      </c>
      <c r="AE18" s="245">
        <f t="shared" si="13"/>
        <v>-0.0708992777324093</v>
      </c>
      <c r="AF18" s="94">
        <f>公交!AF35+出租!AF35+网约车!AF35</f>
        <v>925.035241458793</v>
      </c>
      <c r="AG18" s="245">
        <f t="shared" si="14"/>
        <v>-0.070142924013044</v>
      </c>
      <c r="AH18" s="94">
        <f>公交!AH35+出租!AH35+网约车!AH35</f>
        <v>887.13457483439</v>
      </c>
      <c r="AI18" s="245">
        <f t="shared" si="15"/>
        <v>-0.0996955410024085</v>
      </c>
      <c r="AJ18" s="94">
        <f>公交!AJ35+出租!AJ35+网约车!AJ35</f>
        <v>863.852067875023</v>
      </c>
      <c r="AK18" s="245">
        <f t="shared" si="16"/>
        <v>-0.0948479208058958</v>
      </c>
      <c r="AL18" s="94">
        <f>公交!AL35+出租!AL35+网约车!AL35</f>
        <v>873.03560233681</v>
      </c>
      <c r="AM18" s="245">
        <f t="shared" si="17"/>
        <v>-0.0894065574668381</v>
      </c>
      <c r="AN18" s="94">
        <f>公交!AN35+出租!AN35+网约车!AN35</f>
        <v>954.031927638346</v>
      </c>
      <c r="AO18" s="245">
        <f t="shared" si="18"/>
        <v>-0.0274297523499079</v>
      </c>
      <c r="AP18" s="94">
        <f>公交!AP35+出租!AP35+网约车!AP35</f>
        <v>985.269012719842</v>
      </c>
      <c r="AQ18" s="245">
        <f t="shared" si="19"/>
        <v>-0.0249000009796435</v>
      </c>
      <c r="AR18" s="94">
        <f>公交!AR35+出租!AR35+网约车!AR35</f>
        <v>978.71947571914</v>
      </c>
      <c r="AS18" s="245">
        <f t="shared" si="20"/>
        <v>-0.0358103873985536</v>
      </c>
      <c r="AT18" s="94">
        <f t="shared" si="23"/>
        <v>11173.5541548324</v>
      </c>
      <c r="AU18" s="245">
        <f t="shared" si="21"/>
        <v>-0.0607925289537642</v>
      </c>
      <c r="AV18" s="280"/>
      <c r="AW18" s="94">
        <f>公交!AW35+出租!AW35+网约车!AW35</f>
        <v>1077.88734506262</v>
      </c>
      <c r="AX18" s="281"/>
      <c r="AY18" s="94">
        <f>公交!AY35+出租!AY35+网约车!AY35</f>
        <v>950.495832259333</v>
      </c>
      <c r="AZ18" s="281"/>
      <c r="BA18" s="94">
        <f>公交!BA35+出租!BA35+网约车!BA35</f>
        <v>1000.63601197548</v>
      </c>
      <c r="BB18" s="281"/>
      <c r="BC18" s="94">
        <f>公交!BC35+出租!BC35+网约车!BC35</f>
        <v>986.52042576871</v>
      </c>
      <c r="BD18" s="281"/>
      <c r="BE18" s="94">
        <f>公交!BE35+出租!BE35+网约车!BE35</f>
        <v>981.50044379898</v>
      </c>
      <c r="BF18" s="281"/>
      <c r="BG18" s="94">
        <f>公交!BG35+出租!BG35+网约车!BG35</f>
        <v>994.814434763488</v>
      </c>
      <c r="BH18" s="281"/>
      <c r="BI18" s="94">
        <f>公交!BI35+出租!BI35+网约车!BI35</f>
        <v>985.371743934419</v>
      </c>
      <c r="BJ18" s="281"/>
      <c r="BK18" s="94">
        <f>公交!BK35+出租!BK35+网约车!BK35</f>
        <v>954.372295807073</v>
      </c>
      <c r="BL18" s="281"/>
      <c r="BM18" s="94">
        <f>公交!BM35+出租!BM35+网约车!BM35</f>
        <v>958.754545725839</v>
      </c>
      <c r="BN18" s="281"/>
      <c r="BO18" s="94">
        <f>公交!BO35+出租!BO35+网约车!BO35</f>
        <v>980.938837007879</v>
      </c>
      <c r="BP18" s="281"/>
      <c r="BQ18" s="94">
        <f>公交!BQ35+出租!BQ35+网约车!BQ35</f>
        <v>1010.42868804195</v>
      </c>
      <c r="BR18" s="281"/>
      <c r="BS18" s="94">
        <f>公交!BS35+出租!BS35+网约车!BS35</f>
        <v>1015.06950803846</v>
      </c>
      <c r="BT18" s="281"/>
      <c r="BU18" s="282">
        <f t="shared" si="22"/>
        <v>11896.7901121842</v>
      </c>
    </row>
    <row r="19" s="256" customFormat="1" ht="31.2" customHeight="1" spans="1:73">
      <c r="A19" s="29"/>
      <c r="B19" s="277" t="s">
        <v>194</v>
      </c>
      <c r="C19" s="94">
        <f>公交!C36+出租!C36+网约车!C36</f>
        <v>4389.72426813285</v>
      </c>
      <c r="D19" s="245">
        <f t="shared" si="0"/>
        <v>-0.0289551814042804</v>
      </c>
      <c r="E19" s="94">
        <f>公交!E36+出租!E36+网约车!E36</f>
        <v>4062.18710014295</v>
      </c>
      <c r="F19" s="245">
        <f t="shared" si="1"/>
        <v>-0.0687484064948419</v>
      </c>
      <c r="G19" s="94">
        <f>公交!G36+出租!G36+网约车!G36</f>
        <v>4271.0832148126</v>
      </c>
      <c r="H19" s="245">
        <f t="shared" si="2"/>
        <v>0.00322978866185242</v>
      </c>
      <c r="I19" s="94">
        <f>公交!I36+出租!I36+网约车!I36</f>
        <v>4447.78018262184</v>
      </c>
      <c r="J19" s="245">
        <f t="shared" si="3"/>
        <v>-0.00355466975107721</v>
      </c>
      <c r="K19" s="94">
        <f>公交!K36+出租!K36+网约车!K36</f>
        <v>4400.94192363751</v>
      </c>
      <c r="L19" s="245">
        <f t="shared" si="4"/>
        <v>0.0484515719521121</v>
      </c>
      <c r="M19" s="94">
        <f>公交!M36+出租!M36+网约车!M36</f>
        <v>4319.68762864717</v>
      </c>
      <c r="N19" s="245">
        <f t="shared" si="5"/>
        <v>0.0135196080380935</v>
      </c>
      <c r="O19" s="94">
        <f>公交!O36+出租!O36+网约车!O36</f>
        <v>4228.62205742888</v>
      </c>
      <c r="P19" s="245">
        <f t="shared" si="6"/>
        <v>0.0408354135637536</v>
      </c>
      <c r="Q19" s="175"/>
      <c r="R19" s="127"/>
      <c r="S19" s="278">
        <f t="shared" si="7"/>
        <v>30120.0263754238</v>
      </c>
      <c r="T19" s="279">
        <f t="shared" si="8"/>
        <v>-0.115771348978913</v>
      </c>
      <c r="U19" s="94"/>
      <c r="V19" s="94">
        <f>公交!V36+出租!V36+网约车!V36</f>
        <v>4520.61962956671</v>
      </c>
      <c r="W19" s="245">
        <f t="shared" si="9"/>
        <v>-0.0961832155670662</v>
      </c>
      <c r="X19" s="94">
        <f>公交!X36+出租!X36+网约车!X36</f>
        <v>4362.07264339081</v>
      </c>
      <c r="Y19" s="245">
        <f t="shared" si="10"/>
        <v>-0.0187844036560623</v>
      </c>
      <c r="Z19" s="94">
        <f>公交!Z36+出租!Z36+网约车!Z36</f>
        <v>4257.33292918818</v>
      </c>
      <c r="AA19" s="245">
        <f t="shared" si="11"/>
        <v>-0.0842261398727426</v>
      </c>
      <c r="AB19" s="94">
        <f>公交!AB36+出租!AB36+网约车!AB36</f>
        <v>4463.64697349802</v>
      </c>
      <c r="AC19" s="245">
        <f t="shared" si="12"/>
        <v>-0.0311434933511339</v>
      </c>
      <c r="AD19" s="94">
        <f>公交!AD36+出租!AD36+网约车!AD36</f>
        <v>4197.56337953063</v>
      </c>
      <c r="AE19" s="245">
        <f t="shared" si="13"/>
        <v>-0.0782183850837634</v>
      </c>
      <c r="AF19" s="94">
        <f>公交!AF36+出租!AF36+网约车!AF36</f>
        <v>4262.06616466844</v>
      </c>
      <c r="AG19" s="245">
        <f t="shared" si="14"/>
        <v>-0.0781927825449892</v>
      </c>
      <c r="AH19" s="94">
        <f>公交!AH36+出租!AH36+网约车!AH36</f>
        <v>4062.71923718501</v>
      </c>
      <c r="AI19" s="245">
        <f t="shared" si="15"/>
        <v>-0.108436355367238</v>
      </c>
      <c r="AJ19" s="94">
        <f>公交!AJ36+出租!AJ36+网约车!AJ36</f>
        <v>3937.59634449471</v>
      </c>
      <c r="AK19" s="245">
        <f t="shared" si="16"/>
        <v>-0.103846052648787</v>
      </c>
      <c r="AL19" s="94">
        <f>公交!AL36+出租!AL36+网约车!AL36</f>
        <v>4022.19862755895</v>
      </c>
      <c r="AM19" s="245">
        <f t="shared" si="17"/>
        <v>-0.0933123730901092</v>
      </c>
      <c r="AN19" s="94">
        <f>公交!AN36+出租!AN36+网约车!AN36</f>
        <v>4302.6147081447</v>
      </c>
      <c r="AO19" s="245">
        <f t="shared" si="18"/>
        <v>-0.050560848204054</v>
      </c>
      <c r="AP19" s="94">
        <f>公交!AP36+出租!AP36+网约车!AP36</f>
        <v>4461.45488272383</v>
      </c>
      <c r="AQ19" s="245">
        <f t="shared" si="19"/>
        <v>-0.0493362097890258</v>
      </c>
      <c r="AR19" s="94">
        <f>公交!AR36+出租!AR36+网约车!AR36</f>
        <v>4451.36072525525</v>
      </c>
      <c r="AS19" s="245">
        <f t="shared" si="20"/>
        <v>-0.0522919887089145</v>
      </c>
      <c r="AT19" s="94">
        <f t="shared" si="23"/>
        <v>51301.2462452052</v>
      </c>
      <c r="AU19" s="245">
        <f t="shared" si="21"/>
        <v>-0.0704482757991065</v>
      </c>
      <c r="AV19" s="280"/>
      <c r="AW19" s="94">
        <f>公交!AW36+出租!AW36+网约车!AW36</f>
        <v>5001.69913574133</v>
      </c>
      <c r="AX19" s="281"/>
      <c r="AY19" s="94">
        <f>公交!AY36+出租!AY36+网约车!AY36</f>
        <v>4445.58021666607</v>
      </c>
      <c r="AZ19" s="281"/>
      <c r="BA19" s="94">
        <f>公交!BA36+出租!BA36+网约车!BA36</f>
        <v>4648.89107950359</v>
      </c>
      <c r="BB19" s="281"/>
      <c r="BC19" s="94">
        <f>公交!BC36+出租!BC36+网约车!BC36</f>
        <v>4607.12906696279</v>
      </c>
      <c r="BD19" s="281"/>
      <c r="BE19" s="94">
        <f>公交!BE36+出租!BE36+网约车!BE36</f>
        <v>4553.75038035671</v>
      </c>
      <c r="BF19" s="281"/>
      <c r="BG19" s="94">
        <f>公交!BG36+出租!BG36+网约车!BG36</f>
        <v>4623.5981710313</v>
      </c>
      <c r="BH19" s="281"/>
      <c r="BI19" s="94">
        <f>公交!BI36+出租!BI36+网约车!BI36</f>
        <v>4556.84713216235</v>
      </c>
      <c r="BJ19" s="281"/>
      <c r="BK19" s="94">
        <f>公交!BK36+出租!BK36+网约车!BK36</f>
        <v>4393.88383673717</v>
      </c>
      <c r="BL19" s="281"/>
      <c r="BM19" s="94">
        <f>公交!BM36+出租!BM36+网约车!BM36</f>
        <v>4436.14593183225</v>
      </c>
      <c r="BN19" s="281"/>
      <c r="BO19" s="94">
        <f>公交!BO36+出租!BO36+网约车!BO36</f>
        <v>4531.7435035262</v>
      </c>
      <c r="BP19" s="281"/>
      <c r="BQ19" s="94">
        <f>公交!BQ36+出租!BQ36+网约车!BQ36</f>
        <v>4692.98918152098</v>
      </c>
      <c r="BR19" s="281"/>
      <c r="BS19" s="94">
        <f>公交!BS36+出租!BS36+网约车!BS36</f>
        <v>4696.97488279228</v>
      </c>
      <c r="BT19" s="281"/>
      <c r="BU19" s="282">
        <f t="shared" si="22"/>
        <v>55189.232518833</v>
      </c>
    </row>
    <row r="20" s="256" customFormat="1" ht="31.2" customHeight="1" spans="1:73">
      <c r="A20" s="283" t="s">
        <v>100</v>
      </c>
      <c r="B20" s="277" t="s">
        <v>193</v>
      </c>
      <c r="C20" s="94">
        <f>公交!C39+出租!C39+网约车!C39</f>
        <v>795.557646099469</v>
      </c>
      <c r="D20" s="245">
        <f t="shared" si="0"/>
        <v>0.211923108235162</v>
      </c>
      <c r="E20" s="94">
        <f>公交!E39+出租!E39+网约车!E39</f>
        <v>781.414436080331</v>
      </c>
      <c r="F20" s="245">
        <f t="shared" si="1"/>
        <v>0.233002021361945</v>
      </c>
      <c r="G20" s="94">
        <f>公交!G39+出租!G39+网约车!G39</f>
        <v>784.170151644112</v>
      </c>
      <c r="H20" s="245">
        <f t="shared" si="2"/>
        <v>0.251450854908072</v>
      </c>
      <c r="I20" s="94">
        <f>公交!I39+出租!I39+网约车!I39</f>
        <v>790.858633029024</v>
      </c>
      <c r="J20" s="245">
        <f t="shared" si="3"/>
        <v>0.258190723659184</v>
      </c>
      <c r="K20" s="94">
        <f>公交!K39+出租!K39+网约车!K39</f>
        <v>807.725766044168</v>
      </c>
      <c r="L20" s="245">
        <f t="shared" si="4"/>
        <v>-0.00345602755092378</v>
      </c>
      <c r="M20" s="94">
        <f>公交!M39+出租!M39+网约车!M39</f>
        <v>828.916212664028</v>
      </c>
      <c r="N20" s="245">
        <f t="shared" si="5"/>
        <v>0.117705795782758</v>
      </c>
      <c r="O20" s="94">
        <f>公交!O39+出租!O39+网约车!O39</f>
        <v>831.393177808734</v>
      </c>
      <c r="P20" s="245">
        <f t="shared" si="6"/>
        <v>0.168260793069791</v>
      </c>
      <c r="Q20" s="175"/>
      <c r="R20" s="127"/>
      <c r="S20" s="278">
        <f t="shared" si="7"/>
        <v>5620.03602336987</v>
      </c>
      <c r="T20" s="279">
        <f t="shared" si="8"/>
        <v>0.0201323993297939</v>
      </c>
      <c r="U20" s="94"/>
      <c r="V20" s="94">
        <f>公交!V39+出租!V39+网约车!V39</f>
        <v>656.442344150021</v>
      </c>
      <c r="W20" s="245">
        <f t="shared" si="9"/>
        <v>-0.0364275018114931</v>
      </c>
      <c r="X20" s="94">
        <f>公交!X39+出租!X39+网约车!X39</f>
        <v>633.749517472161</v>
      </c>
      <c r="Y20" s="245">
        <f t="shared" si="10"/>
        <v>0.0068709056440317</v>
      </c>
      <c r="Z20" s="94">
        <f>公交!Z39+出租!Z39+网约车!Z39</f>
        <v>626.608826522169</v>
      </c>
      <c r="AA20" s="245">
        <f t="shared" si="11"/>
        <v>-0.0361707379389875</v>
      </c>
      <c r="AB20" s="94">
        <f>公交!AB39+出租!AB39+网约车!AB39</f>
        <v>628.568163917929</v>
      </c>
      <c r="AC20" s="245">
        <f t="shared" si="12"/>
        <v>-0.0204838755271515</v>
      </c>
      <c r="AD20" s="94">
        <f>公交!AD39+出租!AD39+网约车!AD39</f>
        <v>810.52696958181</v>
      </c>
      <c r="AE20" s="245">
        <f t="shared" si="13"/>
        <v>0.20300562550162</v>
      </c>
      <c r="AF20" s="94">
        <f>公交!AF39+出租!AF39+网约车!AF39</f>
        <v>741.622899148981</v>
      </c>
      <c r="AG20" s="245">
        <f t="shared" si="14"/>
        <v>0.0782795686627722</v>
      </c>
      <c r="AH20" s="94">
        <f>公交!AH39+出租!AH39+网约车!AH39</f>
        <v>711.650329053769</v>
      </c>
      <c r="AI20" s="245">
        <f t="shared" si="15"/>
        <v>0.0773666671556505</v>
      </c>
      <c r="AJ20" s="94">
        <f>公交!AJ39+出租!AJ39+网约车!AJ39</f>
        <v>699.955086453621</v>
      </c>
      <c r="AK20" s="245">
        <f t="shared" si="16"/>
        <v>0.133436213817228</v>
      </c>
      <c r="AL20" s="94">
        <f>公交!AL39+出租!AL39+网约车!AL39</f>
        <v>693.497112182753</v>
      </c>
      <c r="AM20" s="245">
        <f t="shared" si="17"/>
        <v>0.123906612672777</v>
      </c>
      <c r="AN20" s="94">
        <f>公交!AN39+出租!AN39+网约车!AN39</f>
        <v>773.51914167092</v>
      </c>
      <c r="AO20" s="245">
        <f t="shared" si="18"/>
        <v>0.175790844861981</v>
      </c>
      <c r="AP20" s="94">
        <f>公交!AP39+出租!AP39+网约车!AP39</f>
        <v>759.473575627714</v>
      </c>
      <c r="AQ20" s="245">
        <f t="shared" si="19"/>
        <v>0.225051406950666</v>
      </c>
      <c r="AR20" s="94">
        <f>公交!AR39+出租!AR39+网约车!AR39</f>
        <v>763.687886737128</v>
      </c>
      <c r="AS20" s="245">
        <f t="shared" si="20"/>
        <v>0.218077868063131</v>
      </c>
      <c r="AT20" s="94">
        <f t="shared" si="23"/>
        <v>8499.30185251898</v>
      </c>
      <c r="AU20" s="245">
        <f t="shared" si="21"/>
        <v>0.0947093488884199</v>
      </c>
      <c r="AV20" s="280"/>
      <c r="AW20" s="94">
        <f>公交!AW39+出租!AW39+网约车!AW39</f>
        <v>681.258904113719</v>
      </c>
      <c r="AX20" s="281"/>
      <c r="AY20" s="94">
        <f>公交!AY39+出租!AY39+网约车!AY39</f>
        <v>629.424799067752</v>
      </c>
      <c r="AZ20" s="281"/>
      <c r="BA20" s="94">
        <f>公交!BA39+出租!BA39+网约车!BA39</f>
        <v>650.124302287995</v>
      </c>
      <c r="BB20" s="281"/>
      <c r="BC20" s="94">
        <f>公交!BC39+出租!BC39+网约车!BC39</f>
        <v>641.712931735768</v>
      </c>
      <c r="BD20" s="281"/>
      <c r="BE20" s="94">
        <f>公交!BE39+出租!BE39+网约车!BE39</f>
        <v>673.751603816352</v>
      </c>
      <c r="BF20" s="281"/>
      <c r="BG20" s="94">
        <f>公交!BG39+出租!BG39+网约车!BG39</f>
        <v>687.783503186196</v>
      </c>
      <c r="BH20" s="281"/>
      <c r="BI20" s="94">
        <f>公交!BI39+出租!BI39+网约车!BI39</f>
        <v>660.54608031692</v>
      </c>
      <c r="BJ20" s="281"/>
      <c r="BK20" s="94">
        <f>公交!BK39+出租!BK39+网约车!BK39</f>
        <v>617.55136982635</v>
      </c>
      <c r="BL20" s="281"/>
      <c r="BM20" s="94">
        <f>公交!BM39+出租!BM39+网约车!BM39</f>
        <v>617.041580112727</v>
      </c>
      <c r="BN20" s="281"/>
      <c r="BO20" s="94">
        <f>公交!BO39+出租!BO39+网约车!BO39</f>
        <v>657.871376572692</v>
      </c>
      <c r="BP20" s="281"/>
      <c r="BQ20" s="94">
        <f>公交!BQ39+出租!BQ39+网约车!BQ39</f>
        <v>619.95241286907</v>
      </c>
      <c r="BR20" s="281"/>
      <c r="BS20" s="94">
        <f>公交!BS39+出租!BS39+网约车!BS39</f>
        <v>626.961466717616</v>
      </c>
      <c r="BT20" s="281"/>
      <c r="BU20" s="282">
        <f t="shared" si="22"/>
        <v>7763.98033062316</v>
      </c>
    </row>
    <row r="21" s="256" customFormat="1" ht="31.2" customHeight="1" spans="1:73">
      <c r="A21" s="29"/>
      <c r="B21" s="277" t="s">
        <v>194</v>
      </c>
      <c r="C21" s="94">
        <f>公交!C40+出租!C40+网约车!C40</f>
        <v>3352.29044716058</v>
      </c>
      <c r="D21" s="245">
        <f t="shared" si="0"/>
        <v>0.169884575842348</v>
      </c>
      <c r="E21" s="94">
        <f>公交!E40+出租!E40+网约车!E40</f>
        <v>3373.70802387172</v>
      </c>
      <c r="F21" s="245">
        <f t="shared" si="1"/>
        <v>0.224786202356433</v>
      </c>
      <c r="G21" s="94">
        <f>公交!G40+出租!G40+网约车!G40</f>
        <v>3324.73061979223</v>
      </c>
      <c r="H21" s="245">
        <f t="shared" si="2"/>
        <v>0.211772558399179</v>
      </c>
      <c r="I21" s="94">
        <f>公交!I40+出租!I40+网约车!I40</f>
        <v>3347.6527324164</v>
      </c>
      <c r="J21" s="245">
        <f t="shared" si="3"/>
        <v>0.216946155471978</v>
      </c>
      <c r="K21" s="94">
        <f>公交!K40+出租!K40+网约车!K40</f>
        <v>3427.93000082601</v>
      </c>
      <c r="L21" s="245">
        <f t="shared" si="4"/>
        <v>-0.0424096218285385</v>
      </c>
      <c r="M21" s="94">
        <f>公交!M40+出租!M40+网约车!M40</f>
        <v>3521.21924007029</v>
      </c>
      <c r="N21" s="245">
        <f t="shared" si="5"/>
        <v>0.0838582255397913</v>
      </c>
      <c r="O21" s="94">
        <f>公交!O40+出租!O40+网约车!O40</f>
        <v>3517.64647090088</v>
      </c>
      <c r="P21" s="245">
        <f t="shared" si="6"/>
        <v>0.134169179623586</v>
      </c>
      <c r="Q21" s="175"/>
      <c r="R21" s="127"/>
      <c r="S21" s="278">
        <f t="shared" si="7"/>
        <v>23865.1775350381</v>
      </c>
      <c r="T21" s="279">
        <f t="shared" si="8"/>
        <v>-0.0102307455792797</v>
      </c>
      <c r="U21" s="94"/>
      <c r="V21" s="94">
        <f>公交!V40+出租!V40+网约车!V40</f>
        <v>2865.48819976265</v>
      </c>
      <c r="W21" s="245">
        <f t="shared" si="9"/>
        <v>-0.0260348819158007</v>
      </c>
      <c r="X21" s="94">
        <f>公交!X40+出租!X40+网约车!X40</f>
        <v>2754.52811060482</v>
      </c>
      <c r="Y21" s="245">
        <f t="shared" si="10"/>
        <v>0.0100541912513175</v>
      </c>
      <c r="Z21" s="94">
        <f>公交!Z40+出租!Z40+网约车!Z40</f>
        <v>2743.69195501868</v>
      </c>
      <c r="AA21" s="245">
        <f t="shared" si="11"/>
        <v>-0.0344866455126984</v>
      </c>
      <c r="AB21" s="94">
        <f>公交!AB40+出租!AB40+网约车!AB40</f>
        <v>2750.86347687919</v>
      </c>
      <c r="AC21" s="245">
        <f t="shared" si="12"/>
        <v>-0.0149663458869109</v>
      </c>
      <c r="AD21" s="94">
        <f>公交!AD40+出租!AD40+网约车!AD40</f>
        <v>3579.7456605315</v>
      </c>
      <c r="AE21" s="245">
        <f t="shared" si="13"/>
        <v>0.228692058923367</v>
      </c>
      <c r="AF21" s="94">
        <f>公交!AF40+出租!AF40+网约车!AF40</f>
        <v>3248.78213505888</v>
      </c>
      <c r="AG21" s="245">
        <f t="shared" si="14"/>
        <v>0.0993772810495688</v>
      </c>
      <c r="AH21" s="94">
        <f>公交!AH40+出租!AH40+网约车!AH40</f>
        <v>3101.51830441057</v>
      </c>
      <c r="AI21" s="245">
        <f t="shared" si="15"/>
        <v>0.086290348555871</v>
      </c>
      <c r="AJ21" s="94">
        <f>公交!AJ40+出租!AJ40+网约车!AJ40</f>
        <v>3067.24199622266</v>
      </c>
      <c r="AK21" s="245">
        <f t="shared" si="16"/>
        <v>0.14366393269526</v>
      </c>
      <c r="AL21" s="94">
        <f>公交!AL40+出租!AL40+网约车!AL40</f>
        <v>3035.4948012527</v>
      </c>
      <c r="AM21" s="245">
        <f t="shared" si="17"/>
        <v>0.124593679375144</v>
      </c>
      <c r="AN21" s="94">
        <f>公交!AN40+出租!AN40+网约车!AN40</f>
        <v>3299.74720975994</v>
      </c>
      <c r="AO21" s="245">
        <f t="shared" si="18"/>
        <v>0.156236488664471</v>
      </c>
      <c r="AP21" s="94">
        <f>公交!AP40+出租!AP40+网约车!AP40</f>
        <v>3253.86081981587</v>
      </c>
      <c r="AQ21" s="245">
        <f t="shared" si="19"/>
        <v>0.209992612009062</v>
      </c>
      <c r="AR21" s="94">
        <f>公交!AR40+出租!AR40+网约车!AR40</f>
        <v>3240.60782546119</v>
      </c>
      <c r="AS21" s="245">
        <f t="shared" si="20"/>
        <v>0.201000654021565</v>
      </c>
      <c r="AT21" s="94">
        <f t="shared" si="23"/>
        <v>36941.5704947787</v>
      </c>
      <c r="AU21" s="245">
        <f t="shared" si="21"/>
        <v>0.0978281819652815</v>
      </c>
      <c r="AV21" s="280"/>
      <c r="AW21" s="94">
        <f>公交!AW40+出租!AW40+网约车!AW40</f>
        <v>2942.08503626814</v>
      </c>
      <c r="AX21" s="281"/>
      <c r="AY21" s="94">
        <f>公交!AY40+出租!AY40+网约车!AY40</f>
        <v>2727.10923281487</v>
      </c>
      <c r="AZ21" s="281"/>
      <c r="BA21" s="94">
        <f>公交!BA40+出租!BA40+网约车!BA40</f>
        <v>2841.6923932405</v>
      </c>
      <c r="BB21" s="281"/>
      <c r="BC21" s="94">
        <f>公交!BC40+出租!BC40+网约车!BC40</f>
        <v>2792.65938315176</v>
      </c>
      <c r="BD21" s="281"/>
      <c r="BE21" s="94">
        <f>公交!BE40+出租!BE40+网约车!BE40</f>
        <v>2913.46040249355</v>
      </c>
      <c r="BF21" s="281"/>
      <c r="BG21" s="94">
        <f>公交!BG40+出租!BG40+网约车!BG40</f>
        <v>2955.111217104</v>
      </c>
      <c r="BH21" s="281"/>
      <c r="BI21" s="94">
        <f>公交!BI40+出租!BI40+网约车!BI40</f>
        <v>2855.14670045055</v>
      </c>
      <c r="BJ21" s="281"/>
      <c r="BK21" s="94">
        <f>公交!BK40+出租!BK40+网约车!BK40</f>
        <v>2681.94345256138</v>
      </c>
      <c r="BL21" s="281"/>
      <c r="BM21" s="94">
        <f>公交!BM40+出租!BM40+网约车!BM40</f>
        <v>2699.19247895765</v>
      </c>
      <c r="BN21" s="281"/>
      <c r="BO21" s="94">
        <f>公交!BO40+出租!BO40+网约车!BO40</f>
        <v>2853.86877348194</v>
      </c>
      <c r="BP21" s="281"/>
      <c r="BQ21" s="94">
        <f>公交!BQ40+出租!BQ40+网约车!BQ40</f>
        <v>2689.15759279984</v>
      </c>
      <c r="BR21" s="281"/>
      <c r="BS21" s="94">
        <f>公交!BS40+出租!BS40+网约车!BS40</f>
        <v>2698.2565035331</v>
      </c>
      <c r="BT21" s="281"/>
      <c r="BU21" s="282">
        <f t="shared" si="22"/>
        <v>33649.6831668573</v>
      </c>
    </row>
    <row r="22" s="256" customFormat="1" ht="31.2" customHeight="1" spans="1:73">
      <c r="A22" s="283" t="s">
        <v>101</v>
      </c>
      <c r="B22" s="277" t="s">
        <v>193</v>
      </c>
      <c r="C22" s="94">
        <f>公交!C43+出租!C43+网约车!C43</f>
        <v>1638.72718833634</v>
      </c>
      <c r="D22" s="245">
        <f t="shared" si="0"/>
        <v>-0.0248029040571821</v>
      </c>
      <c r="E22" s="94">
        <f>公交!E43+出租!E43+网约车!E43</f>
        <v>1529.92046471371</v>
      </c>
      <c r="F22" s="245">
        <f t="shared" si="1"/>
        <v>0.00353179721265739</v>
      </c>
      <c r="G22" s="94">
        <f>公交!G43+出租!G43+网约车!G43</f>
        <v>1676.64971429111</v>
      </c>
      <c r="H22" s="245">
        <f t="shared" si="2"/>
        <v>0.0214400964918873</v>
      </c>
      <c r="I22" s="94">
        <f>公交!I43+出租!I43+网约车!I43</f>
        <v>1661.93181384369</v>
      </c>
      <c r="J22" s="245">
        <f t="shared" si="3"/>
        <v>-0.00884736838499955</v>
      </c>
      <c r="K22" s="94">
        <f>公交!K43+出租!K43+网约车!K43</f>
        <v>1601.23437367933</v>
      </c>
      <c r="L22" s="245">
        <f t="shared" si="4"/>
        <v>-0.0450393791397179</v>
      </c>
      <c r="M22" s="94">
        <f>公交!M43+出租!M43+网约车!M43</f>
        <v>1569.11772316284</v>
      </c>
      <c r="N22" s="245">
        <f t="shared" si="5"/>
        <v>-0.0261754227899677</v>
      </c>
      <c r="O22" s="94">
        <f>公交!O43+出租!O43+网约车!O43</f>
        <v>1525.49481874449</v>
      </c>
      <c r="P22" s="245">
        <f t="shared" si="6"/>
        <v>0.0289910625417689</v>
      </c>
      <c r="Q22" s="175"/>
      <c r="R22" s="127"/>
      <c r="S22" s="278">
        <f t="shared" si="7"/>
        <v>11203.0760967715</v>
      </c>
      <c r="T22" s="279">
        <f t="shared" si="8"/>
        <v>-0.11489494433122</v>
      </c>
      <c r="U22" s="94"/>
      <c r="V22" s="94">
        <f>公交!V43+出租!V43+网约车!V43</f>
        <v>1680.40614061922</v>
      </c>
      <c r="W22" s="245">
        <f t="shared" si="9"/>
        <v>-0.0892977022672761</v>
      </c>
      <c r="X22" s="94">
        <f>公交!X43+出租!X43+网约车!X43</f>
        <v>1524.53611232162</v>
      </c>
      <c r="Y22" s="245">
        <f t="shared" si="10"/>
        <v>-0.129320323644971</v>
      </c>
      <c r="Z22" s="94">
        <f>公交!Z43+出租!Z43+网约车!Z43</f>
        <v>1641.45672374672</v>
      </c>
      <c r="AA22" s="245">
        <f t="shared" si="11"/>
        <v>-0.0797351821319625</v>
      </c>
      <c r="AB22" s="94">
        <f>公交!AB43+出租!AB43+网约车!AB43</f>
        <v>1676.76678730673</v>
      </c>
      <c r="AC22" s="245">
        <f t="shared" si="12"/>
        <v>0.00673355587186553</v>
      </c>
      <c r="AD22" s="94">
        <f>公交!AD43+出租!AD43+网约车!AD43</f>
        <v>1676.75434850585</v>
      </c>
      <c r="AE22" s="245">
        <f t="shared" si="13"/>
        <v>0.000632541217516991</v>
      </c>
      <c r="AF22" s="94">
        <f>公交!AF43+出租!AF43+网约车!AF43</f>
        <v>1611.29402551977</v>
      </c>
      <c r="AG22" s="245">
        <f t="shared" si="14"/>
        <v>-0.0210303005273037</v>
      </c>
      <c r="AH22" s="94">
        <f>公交!AH43+出租!AH43+网约车!AH43</f>
        <v>1482.5151298946</v>
      </c>
      <c r="AI22" s="245">
        <f t="shared" si="15"/>
        <v>-0.108995279980478</v>
      </c>
      <c r="AJ22" s="94">
        <f>公交!AJ43+出租!AJ43+网约车!AJ43</f>
        <v>1363.61126473734</v>
      </c>
      <c r="AK22" s="245">
        <f t="shared" si="16"/>
        <v>-0.152583692253609</v>
      </c>
      <c r="AL22" s="94">
        <f>公交!AL43+出租!AL43+网约车!AL43</f>
        <v>1483.80248073576</v>
      </c>
      <c r="AM22" s="245">
        <f t="shared" si="17"/>
        <v>-0.0209991046873717</v>
      </c>
      <c r="AN22" s="94">
        <f>公交!AN43+出租!AN43+网约车!AN43</f>
        <v>1738.10178375195</v>
      </c>
      <c r="AO22" s="245">
        <f t="shared" si="18"/>
        <v>0.0926439263368171</v>
      </c>
      <c r="AP22" s="94">
        <f>公交!AP43+出租!AP43+网约车!AP43</f>
        <v>1586.40804380137</v>
      </c>
      <c r="AQ22" s="245">
        <f t="shared" si="19"/>
        <v>0.0175054425876175</v>
      </c>
      <c r="AR22" s="94">
        <f>公交!AR43+出租!AR43+网约车!AR43</f>
        <v>1670.64298638401</v>
      </c>
      <c r="AS22" s="245">
        <f t="shared" si="20"/>
        <v>-0.0185456846400274</v>
      </c>
      <c r="AT22" s="94">
        <f t="shared" si="23"/>
        <v>19136.2958273249</v>
      </c>
      <c r="AU22" s="245">
        <f t="shared" si="21"/>
        <v>-0.0435523115401008</v>
      </c>
      <c r="AV22" s="280"/>
      <c r="AW22" s="94">
        <f>公交!AW43+出租!AW43+网约车!AW43</f>
        <v>1845.17612923866</v>
      </c>
      <c r="AX22" s="281"/>
      <c r="AY22" s="94">
        <f>公交!AY43+出租!AY43+网约车!AY43</f>
        <v>1750.97243420665</v>
      </c>
      <c r="AZ22" s="281"/>
      <c r="BA22" s="94">
        <f>公交!BA43+出租!BA43+网约车!BA43</f>
        <v>1783.67866713568</v>
      </c>
      <c r="BB22" s="281"/>
      <c r="BC22" s="94">
        <f>公交!BC43+出租!BC43+网约车!BC43</f>
        <v>1665.55170186474</v>
      </c>
      <c r="BD22" s="281"/>
      <c r="BE22" s="94">
        <f>公交!BE43+出租!BE43+网约车!BE43</f>
        <v>1675.69440272816</v>
      </c>
      <c r="BF22" s="281"/>
      <c r="BG22" s="94">
        <f>公交!BG43+出租!BG43+网约车!BG43</f>
        <v>1645.90796465679</v>
      </c>
      <c r="BH22" s="281"/>
      <c r="BI22" s="94">
        <f>公交!BI43+出租!BI43+网约车!BI43</f>
        <v>1663.86899708243</v>
      </c>
      <c r="BJ22" s="281"/>
      <c r="BK22" s="94">
        <f>公交!BK43+出租!BK43+网约车!BK43</f>
        <v>1609.13974899032</v>
      </c>
      <c r="BL22" s="281"/>
      <c r="BM22" s="94">
        <f>公交!BM43+出租!BM43+网约车!BM43</f>
        <v>1515.62933991182</v>
      </c>
      <c r="BN22" s="281"/>
      <c r="BO22" s="94">
        <f>公交!BO43+出租!BO43+网约车!BO43</f>
        <v>1590.73028445697</v>
      </c>
      <c r="BP22" s="281"/>
      <c r="BQ22" s="94">
        <f>公交!BQ43+出租!BQ43+网约车!BQ43</f>
        <v>1559.11504489546</v>
      </c>
      <c r="BR22" s="281"/>
      <c r="BS22" s="94">
        <f>公交!BS43+出租!BS43+网约车!BS43</f>
        <v>1702.21166715362</v>
      </c>
      <c r="BT22" s="281"/>
      <c r="BU22" s="282">
        <f t="shared" si="22"/>
        <v>20007.6763823213</v>
      </c>
    </row>
    <row r="23" s="256" customFormat="1" ht="31.2" customHeight="1" spans="1:73">
      <c r="A23" s="29"/>
      <c r="B23" s="277" t="s">
        <v>194</v>
      </c>
      <c r="C23" s="94">
        <f>公交!C44+出租!C44+网约车!C44</f>
        <v>7255.43440124015</v>
      </c>
      <c r="D23" s="245">
        <f t="shared" si="0"/>
        <v>-0.0703756839242249</v>
      </c>
      <c r="E23" s="94">
        <f>公交!E44+出租!E44+网约车!E44</f>
        <v>6682.41557233584</v>
      </c>
      <c r="F23" s="245">
        <f t="shared" si="1"/>
        <v>-0.0413903838648801</v>
      </c>
      <c r="G23" s="94">
        <f>公交!G44+出租!G44+网约车!G44</f>
        <v>7474.45542933441</v>
      </c>
      <c r="H23" s="245">
        <f t="shared" si="2"/>
        <v>-0.0188022637177515</v>
      </c>
      <c r="I23" s="94">
        <f>公交!I44+出租!I44+网约车!I44</f>
        <v>7690.07883705636</v>
      </c>
      <c r="J23" s="245">
        <f t="shared" si="3"/>
        <v>-0.011384755738046</v>
      </c>
      <c r="K23" s="94">
        <f>公交!K44+出租!K44+网约车!K44</f>
        <v>7418.47650826142</v>
      </c>
      <c r="L23" s="245">
        <f t="shared" si="4"/>
        <v>-0.039465552738794</v>
      </c>
      <c r="M23" s="94">
        <f>公交!M44+出租!M44+网约车!M44</f>
        <v>7117.26287037552</v>
      </c>
      <c r="N23" s="245">
        <f t="shared" si="5"/>
        <v>-0.0414579121067604</v>
      </c>
      <c r="O23" s="94">
        <f>公交!O44+出租!O44+网约车!O44</f>
        <v>6867.62762911588</v>
      </c>
      <c r="P23" s="245">
        <f t="shared" si="6"/>
        <v>0.0100070845740547</v>
      </c>
      <c r="Q23" s="175"/>
      <c r="R23" s="127"/>
      <c r="S23" s="278">
        <f t="shared" si="7"/>
        <v>50505.7512477196</v>
      </c>
      <c r="T23" s="279">
        <f t="shared" si="8"/>
        <v>-0.13495117976923</v>
      </c>
      <c r="U23" s="94"/>
      <c r="V23" s="94">
        <f>公交!V44+出租!V44+网约车!V44</f>
        <v>7804.69516101679</v>
      </c>
      <c r="W23" s="245">
        <f t="shared" si="9"/>
        <v>-0.0814594011618647</v>
      </c>
      <c r="X23" s="94">
        <f>公交!X44+出租!X44+网约车!X44</f>
        <v>6970.94569036111</v>
      </c>
      <c r="Y23" s="245">
        <f t="shared" si="10"/>
        <v>-0.126298140352801</v>
      </c>
      <c r="Z23" s="94">
        <f>公交!Z44+出租!Z44+网约车!Z44</f>
        <v>7617.68515452866</v>
      </c>
      <c r="AA23" s="245">
        <f t="shared" si="11"/>
        <v>-0.0798738280185651</v>
      </c>
      <c r="AB23" s="94">
        <f>公交!AB44+出租!AB44+网约车!AB44</f>
        <v>7778.63671604351</v>
      </c>
      <c r="AC23" s="245">
        <f t="shared" si="12"/>
        <v>0.00766451202587626</v>
      </c>
      <c r="AD23" s="94">
        <f>公交!AD44+出租!AD44+网约车!AD44</f>
        <v>7723.28002333897</v>
      </c>
      <c r="AE23" s="245">
        <f t="shared" si="13"/>
        <v>-0.00585388484723104</v>
      </c>
      <c r="AF23" s="94">
        <f>公交!AF44+出租!AF44+网约车!AF44</f>
        <v>7425.09166813781</v>
      </c>
      <c r="AG23" s="245">
        <f t="shared" si="14"/>
        <v>-0.0221553755999842</v>
      </c>
      <c r="AH23" s="94">
        <f>公交!AH44+出租!AH44+网约车!AH44</f>
        <v>6799.58362075463</v>
      </c>
      <c r="AI23" s="245">
        <f t="shared" si="15"/>
        <v>-0.111806842571484</v>
      </c>
      <c r="AJ23" s="94">
        <f>公交!AJ44+出租!AJ44+网约车!AJ44</f>
        <v>6264.93848090637</v>
      </c>
      <c r="AK23" s="245">
        <f t="shared" si="16"/>
        <v>-0.157804955391822</v>
      </c>
      <c r="AL23" s="94">
        <f>公交!AL44+出租!AL44+网约车!AL44</f>
        <v>6754.26734229799</v>
      </c>
      <c r="AM23" s="245">
        <f t="shared" si="17"/>
        <v>-0.0410636776462798</v>
      </c>
      <c r="AN23" s="94">
        <f>公交!AN44+出租!AN44+网约车!AN44</f>
        <v>7689.15671268763</v>
      </c>
      <c r="AO23" s="245">
        <f t="shared" si="18"/>
        <v>0.0376480289021759</v>
      </c>
      <c r="AP23" s="94">
        <f>公交!AP44+出租!AP44+网约车!AP44</f>
        <v>7209.90184618538</v>
      </c>
      <c r="AQ23" s="245">
        <f t="shared" si="19"/>
        <v>-0.0105811971104951</v>
      </c>
      <c r="AR23" s="94">
        <f>公交!AR44+出租!AR44+网约车!AR44</f>
        <v>7644.64516868869</v>
      </c>
      <c r="AS23" s="245">
        <f t="shared" si="20"/>
        <v>-0.0453659400198512</v>
      </c>
      <c r="AT23" s="94">
        <f t="shared" si="23"/>
        <v>87682.8275849476</v>
      </c>
      <c r="AU23" s="245">
        <f t="shared" si="21"/>
        <v>-0.0539078130250338</v>
      </c>
      <c r="AV23" s="280"/>
      <c r="AW23" s="94">
        <f>公交!AW44+出租!AW44+网约车!AW44</f>
        <v>8496.84289501082</v>
      </c>
      <c r="AX23" s="281"/>
      <c r="AY23" s="94">
        <f>公交!AY44+出租!AY44+网约车!AY44</f>
        <v>7978.63208529278</v>
      </c>
      <c r="AZ23" s="281"/>
      <c r="BA23" s="94">
        <f>公交!BA44+出租!BA44+网约车!BA44</f>
        <v>8278.95715445681</v>
      </c>
      <c r="BB23" s="281"/>
      <c r="BC23" s="94">
        <f>公交!BC44+出租!BC44+网约车!BC44</f>
        <v>7719.47073972549</v>
      </c>
      <c r="BD23" s="281"/>
      <c r="BE23" s="94">
        <f>公交!BE44+出租!BE44+网约车!BE44</f>
        <v>7768.75743476818</v>
      </c>
      <c r="BF23" s="281"/>
      <c r="BG23" s="94">
        <f>公交!BG44+出租!BG44+网约车!BG44</f>
        <v>7593.32462730844</v>
      </c>
      <c r="BH23" s="281"/>
      <c r="BI23" s="94">
        <f>公交!BI44+出租!BI44+网约车!BI44</f>
        <v>7655.52353548939</v>
      </c>
      <c r="BJ23" s="281"/>
      <c r="BK23" s="94">
        <f>公交!BK44+出租!BK44+网约车!BK44</f>
        <v>7438.82135262512</v>
      </c>
      <c r="BL23" s="281"/>
      <c r="BM23" s="94">
        <f>公交!BM44+出租!BM44+网约车!BM44</f>
        <v>7043.49932821354</v>
      </c>
      <c r="BN23" s="281"/>
      <c r="BO23" s="94">
        <f>公交!BO44+出租!BO44+网约车!BO44</f>
        <v>7410.17811292206</v>
      </c>
      <c r="BP23" s="281"/>
      <c r="BQ23" s="94">
        <f>公交!BQ44+出租!BQ44+网约车!BQ44</f>
        <v>7287.00710470585</v>
      </c>
      <c r="BR23" s="281"/>
      <c r="BS23" s="94">
        <f>公交!BS44+出租!BS44+网约车!BS44</f>
        <v>8007.93255674081</v>
      </c>
      <c r="BT23" s="281"/>
      <c r="BU23" s="282">
        <f t="shared" si="22"/>
        <v>92678.9469272593</v>
      </c>
    </row>
    <row r="24" s="256" customFormat="1" ht="31.2" customHeight="1" spans="1:73">
      <c r="A24" s="283" t="s">
        <v>102</v>
      </c>
      <c r="B24" s="277" t="s">
        <v>193</v>
      </c>
      <c r="C24" s="94">
        <f>公交!C47+出租!C47+网约车!C47</f>
        <v>840.473342960254</v>
      </c>
      <c r="D24" s="245">
        <f t="shared" si="0"/>
        <v>-0.101369819143331</v>
      </c>
      <c r="E24" s="94">
        <f>公交!E47+出租!E47+网约车!E47</f>
        <v>844.531982883712</v>
      </c>
      <c r="F24" s="245">
        <f t="shared" si="1"/>
        <v>-0.0610880693082422</v>
      </c>
      <c r="G24" s="94">
        <f>公交!G47+出租!G47+网约车!G47</f>
        <v>851.288848753193</v>
      </c>
      <c r="H24" s="245">
        <f t="shared" si="2"/>
        <v>-0.0382774920162869</v>
      </c>
      <c r="I24" s="94">
        <f>公交!I47+出租!I47+网约车!I47</f>
        <v>885.275502620252</v>
      </c>
      <c r="J24" s="245">
        <f t="shared" si="3"/>
        <v>0.0224372245185167</v>
      </c>
      <c r="K24" s="94">
        <f>公交!K47+出租!K47+网约车!K47</f>
        <v>881.192870172992</v>
      </c>
      <c r="L24" s="245">
        <f t="shared" si="4"/>
        <v>0.0551294208280362</v>
      </c>
      <c r="M24" s="94">
        <f>公交!M47+出租!M47+网约车!M47</f>
        <v>875.134476951394</v>
      </c>
      <c r="N24" s="245">
        <f t="shared" si="5"/>
        <v>0.0141937076062029</v>
      </c>
      <c r="O24" s="94">
        <f>公交!O47+出租!O47+网约车!O47</f>
        <v>833.131153213417</v>
      </c>
      <c r="P24" s="245">
        <f t="shared" si="6"/>
        <v>0.0773519377130758</v>
      </c>
      <c r="Q24" s="175"/>
      <c r="R24" s="127"/>
      <c r="S24" s="278">
        <f t="shared" si="7"/>
        <v>6011.02817755521</v>
      </c>
      <c r="T24" s="279">
        <f t="shared" si="8"/>
        <v>-0.122157313815178</v>
      </c>
      <c r="U24" s="94"/>
      <c r="V24" s="94">
        <f>公交!V47+出租!V47+网约车!V47</f>
        <v>935.282790256417</v>
      </c>
      <c r="W24" s="245">
        <f t="shared" si="9"/>
        <v>-0.14184118983377</v>
      </c>
      <c r="X24" s="94">
        <f>公交!X47+出租!X47+网约车!X47</f>
        <v>899.479445597725</v>
      </c>
      <c r="Y24" s="245">
        <f t="shared" si="10"/>
        <v>-0.131950708676938</v>
      </c>
      <c r="Z24" s="94">
        <f>公交!Z47+出租!Z47+网约车!Z47</f>
        <v>885.170973629339</v>
      </c>
      <c r="AA24" s="245">
        <f t="shared" si="11"/>
        <v>-0.159510911086429</v>
      </c>
      <c r="AB24" s="94">
        <f>公交!AB47+出租!AB47+网约车!AB47</f>
        <v>865.848270574405</v>
      </c>
      <c r="AC24" s="245">
        <f t="shared" si="12"/>
        <v>-0.161213630853681</v>
      </c>
      <c r="AD24" s="94">
        <f>公交!AD47+出租!AD47+网约车!AD47</f>
        <v>835.151454199293</v>
      </c>
      <c r="AE24" s="245">
        <f t="shared" si="13"/>
        <v>-0.0769010149298183</v>
      </c>
      <c r="AF24" s="94">
        <f>公交!AF47+出租!AF47+网约车!AF47</f>
        <v>862.886912419295</v>
      </c>
      <c r="AG24" s="245">
        <f t="shared" si="14"/>
        <v>-0.0942525683446477</v>
      </c>
      <c r="AH24" s="94">
        <f>公交!AH47+出租!AH47+网约车!AH47</f>
        <v>773.31383000241</v>
      </c>
      <c r="AI24" s="245">
        <f t="shared" si="15"/>
        <v>-0.167084026794464</v>
      </c>
      <c r="AJ24" s="94">
        <f>公交!AJ47+出租!AJ47+网约车!AJ47</f>
        <v>790.366760648504</v>
      </c>
      <c r="AK24" s="245">
        <f t="shared" si="16"/>
        <v>-0.186943181834358</v>
      </c>
      <c r="AL24" s="94">
        <f>公交!AL47+出租!AL47+网约车!AL47</f>
        <v>814.104847496432</v>
      </c>
      <c r="AM24" s="245">
        <f t="shared" si="17"/>
        <v>-0.175662921256791</v>
      </c>
      <c r="AN24" s="94">
        <f>公交!AN47+出租!AN47+网约车!AN47</f>
        <v>827.092737712773</v>
      </c>
      <c r="AO24" s="245">
        <f t="shared" si="18"/>
        <v>-0.194485219661786</v>
      </c>
      <c r="AP24" s="94">
        <f>公交!AP47+出租!AP47+网约车!AP47</f>
        <v>834.705250834341</v>
      </c>
      <c r="AQ24" s="245">
        <f t="shared" si="19"/>
        <v>-0.148842311018516</v>
      </c>
      <c r="AR24" s="94">
        <f>公交!AR47+出租!AR47+网约车!AR47</f>
        <v>813.912442534522</v>
      </c>
      <c r="AS24" s="245">
        <f t="shared" si="20"/>
        <v>-0.184202564429709</v>
      </c>
      <c r="AT24" s="94">
        <f t="shared" si="23"/>
        <v>10137.3157159055</v>
      </c>
      <c r="AU24" s="245">
        <f t="shared" si="21"/>
        <v>-0.15255273853684</v>
      </c>
      <c r="AV24" s="280"/>
      <c r="AW24" s="94">
        <f>公交!AW47+出租!AW47+网约车!AW47</f>
        <v>1089.87145406716</v>
      </c>
      <c r="AX24" s="281"/>
      <c r="AY24" s="94">
        <f>公交!AY47+出租!AY47+网约车!AY47</f>
        <v>1036.20779901422</v>
      </c>
      <c r="AZ24" s="281"/>
      <c r="BA24" s="94">
        <f>公交!BA47+出租!BA47+网约车!BA47</f>
        <v>1053.16176652992</v>
      </c>
      <c r="BB24" s="281"/>
      <c r="BC24" s="94">
        <f>公交!BC47+出租!BC47+网约车!BC47</f>
        <v>1032.26316309316</v>
      </c>
      <c r="BD24" s="281"/>
      <c r="BE24" s="94">
        <f>公交!BE47+出租!BE47+网约车!BE47</f>
        <v>904.725785323876</v>
      </c>
      <c r="BF24" s="281"/>
      <c r="BG24" s="94">
        <f>公交!BG47+出租!BG47+网约车!BG47</f>
        <v>952.679391916437</v>
      </c>
      <c r="BH24" s="281"/>
      <c r="BI24" s="94">
        <f>公交!BI47+出租!BI47+网约车!BI47</f>
        <v>928.441589403379</v>
      </c>
      <c r="BJ24" s="281"/>
      <c r="BK24" s="94">
        <f>公交!BK47+出租!BK47+网约车!BK47</f>
        <v>972.092900508073</v>
      </c>
      <c r="BL24" s="281"/>
      <c r="BM24" s="94">
        <f>公交!BM47+出租!BM47+网约车!BM47</f>
        <v>987.587321363274</v>
      </c>
      <c r="BN24" s="281"/>
      <c r="BO24" s="94">
        <f>公交!BO47+出租!BO47+网约车!BO47</f>
        <v>1026.78778577533</v>
      </c>
      <c r="BP24" s="281"/>
      <c r="BQ24" s="94">
        <f>公交!BQ47+出租!BQ47+网约车!BQ47</f>
        <v>980.670516920513</v>
      </c>
      <c r="BR24" s="281"/>
      <c r="BS24" s="94">
        <f>公交!BS47+出租!BS47+网约车!BS47</f>
        <v>997.689385926481</v>
      </c>
      <c r="BT24" s="281"/>
      <c r="BU24" s="282">
        <f t="shared" si="22"/>
        <v>11962.1788598418</v>
      </c>
    </row>
    <row r="25" s="256" customFormat="1" ht="31.2" customHeight="1" spans="1:73">
      <c r="A25" s="29"/>
      <c r="B25" s="277" t="s">
        <v>194</v>
      </c>
      <c r="C25" s="94">
        <f>公交!C48+出租!C48+网约车!C48</f>
        <v>5268.94233389282</v>
      </c>
      <c r="D25" s="245">
        <f t="shared" si="0"/>
        <v>0.100575415615891</v>
      </c>
      <c r="E25" s="94">
        <f>公交!E48+出租!E48+网约车!E48</f>
        <v>5277.5448064645</v>
      </c>
      <c r="F25" s="245">
        <f t="shared" si="1"/>
        <v>0.0810032539045529</v>
      </c>
      <c r="G25" s="94">
        <f>公交!G48+出租!G48+网约车!G48</f>
        <v>5416.75908269859</v>
      </c>
      <c r="H25" s="245">
        <f t="shared" si="2"/>
        <v>0.130853446192451</v>
      </c>
      <c r="I25" s="94">
        <f>公交!I48+出租!I48+网约车!I48</f>
        <v>5636.55424165484</v>
      </c>
      <c r="J25" s="245">
        <f t="shared" si="3"/>
        <v>0.227771362307758</v>
      </c>
      <c r="K25" s="94">
        <f>公交!K48+出租!K48+网约车!K48</f>
        <v>5606.65832831898</v>
      </c>
      <c r="L25" s="245">
        <f t="shared" si="4"/>
        <v>0.270803235652311</v>
      </c>
      <c r="M25" s="94">
        <f>公交!M48+出租!M48+网约车!M48</f>
        <v>5577.59171639808</v>
      </c>
      <c r="N25" s="245">
        <f t="shared" si="5"/>
        <v>0.285046808803939</v>
      </c>
      <c r="O25" s="94">
        <f>公交!O48+出租!O48+网约车!O48</f>
        <v>5039.48266508495</v>
      </c>
      <c r="P25" s="245">
        <f t="shared" si="6"/>
        <v>0.0999418684279432</v>
      </c>
      <c r="Q25" s="175"/>
      <c r="R25" s="127"/>
      <c r="S25" s="278">
        <f t="shared" si="7"/>
        <v>37823.5331745128</v>
      </c>
      <c r="T25" s="279">
        <f t="shared" si="8"/>
        <v>0.0183072888456692</v>
      </c>
      <c r="U25" s="94"/>
      <c r="V25" s="94">
        <f>公交!V48+出租!V48+网约车!V48</f>
        <v>4787.44324026562</v>
      </c>
      <c r="W25" s="245">
        <f t="shared" si="9"/>
        <v>-0.0417075388512679</v>
      </c>
      <c r="X25" s="94">
        <f>公交!X48+出租!X48+网约车!X48</f>
        <v>4882.08040762334</v>
      </c>
      <c r="Y25" s="245">
        <f t="shared" si="10"/>
        <v>0.0129371280319452</v>
      </c>
      <c r="Z25" s="94">
        <f>公交!Z48+出租!Z48+网约车!Z48</f>
        <v>4789.97442235919</v>
      </c>
      <c r="AA25" s="245">
        <f t="shared" si="11"/>
        <v>0.0243163308957759</v>
      </c>
      <c r="AB25" s="94">
        <f>公交!AB48+出租!AB48+网约车!AB48</f>
        <v>4590.8826469614</v>
      </c>
      <c r="AC25" s="245">
        <f t="shared" si="12"/>
        <v>0.00215336082901452</v>
      </c>
      <c r="AD25" s="94">
        <f>公交!AD48+出租!AD48+网约车!AD48</f>
        <v>4411.90120628002</v>
      </c>
      <c r="AE25" s="245">
        <f t="shared" si="13"/>
        <v>0.0585517595210003</v>
      </c>
      <c r="AF25" s="94">
        <f>公交!AF48+出租!AF48+网约车!AF48</f>
        <v>4340.38019330162</v>
      </c>
      <c r="AG25" s="245">
        <f t="shared" si="14"/>
        <v>-0.0132979962121559</v>
      </c>
      <c r="AH25" s="94">
        <f>公交!AH48+出租!AH48+网约车!AH48</f>
        <v>4581.59000010379</v>
      </c>
      <c r="AI25" s="245">
        <f t="shared" si="15"/>
        <v>0.0804949963551693</v>
      </c>
      <c r="AJ25" s="94">
        <f>公交!AJ48+出租!AJ48+网约车!AJ48</f>
        <v>4759.2836201306</v>
      </c>
      <c r="AK25" s="245">
        <f t="shared" si="16"/>
        <v>0.0444525301518581</v>
      </c>
      <c r="AL25" s="94">
        <f>公交!AL48+出租!AL48+网约车!AL48</f>
        <v>5118.21315291441</v>
      </c>
      <c r="AM25" s="245">
        <f t="shared" si="17"/>
        <v>0.105884725488921</v>
      </c>
      <c r="AN25" s="94">
        <f>公交!AN48+出租!AN48+网约车!AN48</f>
        <v>5344.87403219356</v>
      </c>
      <c r="AO25" s="245">
        <f t="shared" si="18"/>
        <v>0.112390537841212</v>
      </c>
      <c r="AP25" s="94">
        <f>公交!AP48+出租!AP48+网约车!AP48</f>
        <v>5368.43980013657</v>
      </c>
      <c r="AQ25" s="245">
        <f t="shared" si="19"/>
        <v>0.179422890871447</v>
      </c>
      <c r="AR25" s="94">
        <f>公交!AR48+出租!AR48+网约车!AR48</f>
        <v>5177.80708577557</v>
      </c>
      <c r="AS25" s="245">
        <f t="shared" si="20"/>
        <v>0.100469127100745</v>
      </c>
      <c r="AT25" s="94">
        <f t="shared" si="23"/>
        <v>58152.8698080457</v>
      </c>
      <c r="AU25" s="245">
        <f t="shared" si="21"/>
        <v>0.0549003530526997</v>
      </c>
      <c r="AV25" s="280"/>
      <c r="AW25" s="94">
        <f>公交!AW48+出租!AW48+网约车!AW48</f>
        <v>4995.80601367434</v>
      </c>
      <c r="AX25" s="281"/>
      <c r="AY25" s="94">
        <f>公交!AY48+出租!AY48+网约车!AY48</f>
        <v>4819.7269825708</v>
      </c>
      <c r="AZ25" s="281"/>
      <c r="BA25" s="94">
        <f>公交!BA48+出租!BA48+网约车!BA48</f>
        <v>4676.26481964835</v>
      </c>
      <c r="BB25" s="281"/>
      <c r="BC25" s="94">
        <f>公交!BC48+出租!BC48+网约车!BC48</f>
        <v>4581.01806210944</v>
      </c>
      <c r="BD25" s="281"/>
      <c r="BE25" s="94">
        <f>公交!BE48+出租!BE48+网约车!BE48</f>
        <v>4167.86535622634</v>
      </c>
      <c r="BF25" s="281"/>
      <c r="BG25" s="94">
        <f>公交!BG48+出租!BG48+网约车!BG48</f>
        <v>4398.87643547836</v>
      </c>
      <c r="BH25" s="281"/>
      <c r="BI25" s="94">
        <f>公交!BI48+出租!BI48+网约车!BI48</f>
        <v>4240.26952050575</v>
      </c>
      <c r="BJ25" s="281"/>
      <c r="BK25" s="94">
        <f>公交!BK48+出租!BK48+网约车!BK48</f>
        <v>4556.72563638543</v>
      </c>
      <c r="BL25" s="281"/>
      <c r="BM25" s="94">
        <f>公交!BM48+出租!BM48+网约车!BM48</f>
        <v>4628.16153885443</v>
      </c>
      <c r="BN25" s="281"/>
      <c r="BO25" s="94">
        <f>公交!BO48+出租!BO48+网约车!BO48</f>
        <v>4804.85391629294</v>
      </c>
      <c r="BP25" s="281"/>
      <c r="BQ25" s="94">
        <f>公交!BQ48+出租!BQ48+网约车!BQ48</f>
        <v>4551.75140459581</v>
      </c>
      <c r="BR25" s="281"/>
      <c r="BS25" s="94">
        <f>公交!BS48+出租!BS48+网约车!BS48</f>
        <v>4705.09072745805</v>
      </c>
      <c r="BT25" s="281"/>
      <c r="BU25" s="282">
        <f t="shared" si="22"/>
        <v>55126.4104138</v>
      </c>
    </row>
    <row r="26" s="256" customFormat="1" ht="31.2" customHeight="1" spans="1:73">
      <c r="A26" s="283" t="s">
        <v>103</v>
      </c>
      <c r="B26" s="277" t="s">
        <v>193</v>
      </c>
      <c r="C26" s="94">
        <f>公交!C51+出租!C51+网约车!C51</f>
        <v>817.790362064473</v>
      </c>
      <c r="D26" s="245">
        <f t="shared" si="0"/>
        <v>-0.119913628847337</v>
      </c>
      <c r="E26" s="94">
        <f>公交!E51+出租!E51+网约车!E51</f>
        <v>743.747539240672</v>
      </c>
      <c r="F26" s="245">
        <f t="shared" si="1"/>
        <v>-0.0396320890715824</v>
      </c>
      <c r="G26" s="94">
        <f>公交!G51+出租!G51+网约车!G51</f>
        <v>855.695804734724</v>
      </c>
      <c r="H26" s="245">
        <f t="shared" si="2"/>
        <v>0.0242749644355242</v>
      </c>
      <c r="I26" s="94">
        <f>公交!I51+出租!I51+网约车!I51</f>
        <v>865.744243492883</v>
      </c>
      <c r="J26" s="245">
        <f t="shared" si="3"/>
        <v>0.0483744313618109</v>
      </c>
      <c r="K26" s="94">
        <f>公交!K51+出租!K51+网约车!K51</f>
        <v>884.2293208422</v>
      </c>
      <c r="L26" s="245">
        <f t="shared" si="4"/>
        <v>0.0762573227105632</v>
      </c>
      <c r="M26" s="94">
        <f>公交!M51+出租!M51+网约车!M51</f>
        <v>855.839465701708</v>
      </c>
      <c r="N26" s="245">
        <f t="shared" si="5"/>
        <v>0.0443218741129343</v>
      </c>
      <c r="O26" s="94">
        <f>公交!O51+出租!O51+网约车!O51</f>
        <v>749.86003879499</v>
      </c>
      <c r="P26" s="245">
        <f t="shared" si="6"/>
        <v>0.0214499239214039</v>
      </c>
      <c r="Q26" s="175"/>
      <c r="R26" s="127"/>
      <c r="S26" s="278">
        <f t="shared" si="7"/>
        <v>5772.90677487165</v>
      </c>
      <c r="T26" s="279">
        <f t="shared" si="8"/>
        <v>-0.104612692895741</v>
      </c>
      <c r="U26" s="94"/>
      <c r="V26" s="94">
        <f>公交!V51+出租!V51+网约车!V51</f>
        <v>929.216027960301</v>
      </c>
      <c r="W26" s="245">
        <f t="shared" si="9"/>
        <v>0.0353745622993096</v>
      </c>
      <c r="X26" s="94">
        <f>公交!X51+出租!X51+网约车!X51</f>
        <v>774.440223144969</v>
      </c>
      <c r="Y26" s="245">
        <f t="shared" si="10"/>
        <v>-0.0830017705233015</v>
      </c>
      <c r="Z26" s="94">
        <f>公交!Z51+出租!Z51+网约车!Z51</f>
        <v>835.416108414107</v>
      </c>
      <c r="AA26" s="245">
        <f t="shared" si="11"/>
        <v>-0.0808555978209855</v>
      </c>
      <c r="AB26" s="94">
        <f>公交!AB51+出租!AB51+网约车!AB51</f>
        <v>825.79679320136</v>
      </c>
      <c r="AC26" s="245">
        <f t="shared" si="12"/>
        <v>-0.117828534799798</v>
      </c>
      <c r="AD26" s="94">
        <f>公交!AD51+出租!AD51+网约车!AD51</f>
        <v>821.577983428035</v>
      </c>
      <c r="AE26" s="245">
        <f t="shared" si="13"/>
        <v>-0.119292841542618</v>
      </c>
      <c r="AF26" s="94">
        <f>公交!AF51+出租!AF51+网约车!AF51</f>
        <v>819.516939093776</v>
      </c>
      <c r="AG26" s="245">
        <f t="shared" si="14"/>
        <v>-0.10053114986573</v>
      </c>
      <c r="AH26" s="94">
        <f>公交!AH51+出租!AH51+网约车!AH51</f>
        <v>734.113363008766</v>
      </c>
      <c r="AI26" s="245">
        <f t="shared" si="15"/>
        <v>-0.168312170536353</v>
      </c>
      <c r="AJ26" s="94">
        <f>公交!AJ51+出租!AJ51+网约车!AJ51</f>
        <v>707.307653169743</v>
      </c>
      <c r="AK26" s="245">
        <f t="shared" si="16"/>
        <v>-0.210579561363934</v>
      </c>
      <c r="AL26" s="94">
        <f>公交!AL51+出租!AL51+网约车!AL51</f>
        <v>766.016251853148</v>
      </c>
      <c r="AM26" s="245">
        <f t="shared" si="17"/>
        <v>-0.133782360134414</v>
      </c>
      <c r="AN26" s="94">
        <f>公交!AN51+出租!AN51+网约车!AN51</f>
        <v>815.724963594149</v>
      </c>
      <c r="AO26" s="245">
        <f t="shared" si="18"/>
        <v>-0.10802032145302</v>
      </c>
      <c r="AP26" s="94">
        <f>公交!AP51+出租!AP51+网约车!AP51</f>
        <v>812.102968690869</v>
      </c>
      <c r="AQ26" s="245">
        <f t="shared" si="19"/>
        <v>-0.0654395215959229</v>
      </c>
      <c r="AR26" s="94">
        <f>公交!AR51+出租!AR51+网约车!AR51</f>
        <v>846.90970396997</v>
      </c>
      <c r="AS26" s="245">
        <f t="shared" si="20"/>
        <v>-0.108364600843546</v>
      </c>
      <c r="AT26" s="94">
        <f t="shared" si="23"/>
        <v>9688.13897952919</v>
      </c>
      <c r="AU26" s="245">
        <f t="shared" si="21"/>
        <v>-0.105210689281997</v>
      </c>
      <c r="AV26" s="280"/>
      <c r="AW26" s="94">
        <f>公交!AW51+出租!AW51+网约车!AW51</f>
        <v>897.468473531688</v>
      </c>
      <c r="AX26" s="281"/>
      <c r="AY26" s="94">
        <f>公交!AY51+出租!AY51+网约车!AY51</f>
        <v>844.538406128567</v>
      </c>
      <c r="AZ26" s="281"/>
      <c r="BA26" s="94">
        <f>公交!BA51+出租!BA51+网约车!BA51</f>
        <v>908.906268083217</v>
      </c>
      <c r="BB26" s="281"/>
      <c r="BC26" s="94">
        <f>公交!BC51+出租!BC51+网约车!BC51</f>
        <v>936.095561664933</v>
      </c>
      <c r="BD26" s="281"/>
      <c r="BE26" s="94">
        <f>公交!BE51+出租!BE51+网约车!BE51</f>
        <v>932.86170725248</v>
      </c>
      <c r="BF26" s="281"/>
      <c r="BG26" s="94">
        <f>公交!BG51+出租!BG51+网约车!BG51</f>
        <v>911.112084616873</v>
      </c>
      <c r="BH26" s="281"/>
      <c r="BI26" s="94">
        <f>公交!BI51+出租!BI51+网约车!BI51</f>
        <v>882.678977618554</v>
      </c>
      <c r="BJ26" s="281"/>
      <c r="BK26" s="94">
        <f>公交!BK51+出租!BK51+网约车!BK51</f>
        <v>895.983456409877</v>
      </c>
      <c r="BL26" s="281"/>
      <c r="BM26" s="94">
        <f>公交!BM51+出租!BM51+网约车!BM51</f>
        <v>884.323080712156</v>
      </c>
      <c r="BN26" s="281"/>
      <c r="BO26" s="94">
        <f>公交!BO51+出租!BO51+网约车!BO51</f>
        <v>914.510703789745</v>
      </c>
      <c r="BP26" s="281"/>
      <c r="BQ26" s="94">
        <f>公交!BQ51+出租!BQ51+网约车!BQ51</f>
        <v>868.967806211616</v>
      </c>
      <c r="BR26" s="281"/>
      <c r="BS26" s="94">
        <f>公交!BS51+出租!BS51+网约车!BS51</f>
        <v>949.838582868292</v>
      </c>
      <c r="BT26" s="281"/>
      <c r="BU26" s="282">
        <f t="shared" si="22"/>
        <v>10827.285108888</v>
      </c>
    </row>
    <row r="27" s="256" customFormat="1" ht="31.2" customHeight="1" spans="1:73">
      <c r="A27" s="29"/>
      <c r="B27" s="277" t="s">
        <v>194</v>
      </c>
      <c r="C27" s="94">
        <f>公交!C52+出租!C52+网约车!C52</f>
        <v>3839.11946954631</v>
      </c>
      <c r="D27" s="245">
        <f t="shared" si="0"/>
        <v>-0.0688782833415609</v>
      </c>
      <c r="E27" s="94">
        <f>公交!E52+出租!E52+网约车!E52</f>
        <v>3330.85039307954</v>
      </c>
      <c r="F27" s="245">
        <f t="shared" si="1"/>
        <v>-0.0357090369355663</v>
      </c>
      <c r="G27" s="94">
        <f>公交!G52+出租!G52+网约车!G52</f>
        <v>4042.03364615163</v>
      </c>
      <c r="H27" s="245">
        <f t="shared" si="2"/>
        <v>0.0930644873284741</v>
      </c>
      <c r="I27" s="94">
        <f>公交!I52+出租!I52+网约车!I52</f>
        <v>4100.76163635022</v>
      </c>
      <c r="J27" s="245">
        <f t="shared" si="3"/>
        <v>0.110872655629534</v>
      </c>
      <c r="K27" s="94">
        <f>公交!K52+出租!K52+网约车!K52</f>
        <v>4150.4997982147</v>
      </c>
      <c r="L27" s="245">
        <f t="shared" si="4"/>
        <v>0.13098738300926</v>
      </c>
      <c r="M27" s="94">
        <f>公交!M52+出租!M52+网约车!M52</f>
        <v>4024.80009717126</v>
      </c>
      <c r="N27" s="245">
        <f t="shared" si="5"/>
        <v>0.0919590254949187</v>
      </c>
      <c r="O27" s="94">
        <f>公交!O52+出租!O52+网约车!O52</f>
        <v>3528.26645462094</v>
      </c>
      <c r="P27" s="245">
        <f t="shared" si="6"/>
        <v>0.0257462121148992</v>
      </c>
      <c r="Q27" s="175"/>
      <c r="R27" s="127"/>
      <c r="S27" s="278">
        <f t="shared" si="7"/>
        <v>27016.3314951346</v>
      </c>
      <c r="T27" s="279">
        <f t="shared" si="8"/>
        <v>-0.0709777154096369</v>
      </c>
      <c r="U27" s="94"/>
      <c r="V27" s="94">
        <f>公交!V52+出租!V52+网约车!V52</f>
        <v>4123.11237173583</v>
      </c>
      <c r="W27" s="245">
        <f t="shared" si="9"/>
        <v>0.0096910822394094</v>
      </c>
      <c r="X27" s="94">
        <f>公交!X52+出租!X52+网约车!X52</f>
        <v>3454.19642064713</v>
      </c>
      <c r="Y27" s="245">
        <f t="shared" si="10"/>
        <v>-0.122862469933386</v>
      </c>
      <c r="Z27" s="94">
        <f>公交!Z52+出租!Z52+网约车!Z52</f>
        <v>3697.89128913212</v>
      </c>
      <c r="AA27" s="245">
        <f t="shared" si="11"/>
        <v>-0.112117955734928</v>
      </c>
      <c r="AB27" s="94">
        <f>公交!AB52+出租!AB52+网约车!AB52</f>
        <v>3691.47770049872</v>
      </c>
      <c r="AC27" s="245">
        <f t="shared" si="12"/>
        <v>-0.114518071203118</v>
      </c>
      <c r="AD27" s="94">
        <f>公交!AD52+出租!AD52+网约车!AD52</f>
        <v>3669.80203366311</v>
      </c>
      <c r="AE27" s="245">
        <f t="shared" si="13"/>
        <v>-0.117908994417637</v>
      </c>
      <c r="AF27" s="94">
        <f>公交!AF52+出租!AF52+网约车!AF52</f>
        <v>3685.8526768869</v>
      </c>
      <c r="AG27" s="245">
        <f t="shared" si="14"/>
        <v>-0.0936351793837833</v>
      </c>
      <c r="AH27" s="94">
        <f>公交!AH52+出租!AH52+网约车!AH52</f>
        <v>3439.70702786833</v>
      </c>
      <c r="AI27" s="245">
        <f t="shared" si="15"/>
        <v>-0.132647040542604</v>
      </c>
      <c r="AJ27" s="94">
        <f>公交!AJ52+出租!AJ52+网约车!AJ52</f>
        <v>3318.35170726269</v>
      </c>
      <c r="AK27" s="245">
        <f t="shared" si="16"/>
        <v>-0.196294188988529</v>
      </c>
      <c r="AL27" s="94">
        <f>公交!AL52+出租!AL52+网约车!AL52</f>
        <v>3636.11251377996</v>
      </c>
      <c r="AM27" s="245">
        <f t="shared" si="17"/>
        <v>-0.0970353409841324</v>
      </c>
      <c r="AN27" s="94">
        <f>公交!AN52+出租!AN52+网约车!AN52</f>
        <v>3843.05008345833</v>
      </c>
      <c r="AO27" s="245">
        <f t="shared" si="18"/>
        <v>-0.0638923844136725</v>
      </c>
      <c r="AP27" s="94">
        <f>公交!AP52+出租!AP52+网约车!AP52</f>
        <v>3845.10960717041</v>
      </c>
      <c r="AQ27" s="245">
        <f t="shared" si="19"/>
        <v>-0.0168402713032768</v>
      </c>
      <c r="AR27" s="94">
        <f>公交!AR52+出租!AR52+网约车!AR52</f>
        <v>3976.89447571695</v>
      </c>
      <c r="AS27" s="245">
        <f t="shared" si="20"/>
        <v>-0.0683570169418758</v>
      </c>
      <c r="AT27" s="94">
        <f t="shared" si="23"/>
        <v>44381.5579078205</v>
      </c>
      <c r="AU27" s="245">
        <f t="shared" si="21"/>
        <v>-0.0940454058809972</v>
      </c>
      <c r="AV27" s="280"/>
      <c r="AW27" s="94">
        <f>公交!AW52+出租!AW52+网约车!AW52</f>
        <v>4083.53846464714</v>
      </c>
      <c r="AX27" s="281"/>
      <c r="AY27" s="94">
        <f>公交!AY52+出租!AY52+网约车!AY52</f>
        <v>3938.03286513667</v>
      </c>
      <c r="AZ27" s="281"/>
      <c r="BA27" s="94">
        <f>公交!BA52+出租!BA52+网约车!BA52</f>
        <v>4164.84522129624</v>
      </c>
      <c r="BB27" s="281"/>
      <c r="BC27" s="94">
        <f>公交!BC52+出租!BC52+网约车!BC52</f>
        <v>4168.89106423028</v>
      </c>
      <c r="BD27" s="281"/>
      <c r="BE27" s="94">
        <f>公交!BE52+出租!BE52+网约车!BE52</f>
        <v>4160.34401262291</v>
      </c>
      <c r="BF27" s="281"/>
      <c r="BG27" s="94">
        <f>公交!BG52+出租!BG52+网约车!BG52</f>
        <v>4066.63254469759</v>
      </c>
      <c r="BH27" s="281"/>
      <c r="BI27" s="94">
        <f>公交!BI52+出租!BI52+网约车!BI52</f>
        <v>3965.75233918631</v>
      </c>
      <c r="BJ27" s="281"/>
      <c r="BK27" s="94">
        <f>公交!BK52+出租!BK52+网约车!BK52</f>
        <v>4128.81387915624</v>
      </c>
      <c r="BL27" s="281"/>
      <c r="BM27" s="94">
        <f>公交!BM52+出租!BM52+网约车!BM52</f>
        <v>4026.86027351605</v>
      </c>
      <c r="BN27" s="281"/>
      <c r="BO27" s="94">
        <f>公交!BO52+出租!BO52+网约车!BO52</f>
        <v>4105.35073048332</v>
      </c>
      <c r="BP27" s="281"/>
      <c r="BQ27" s="94">
        <f>公交!BQ52+出租!BQ52+网约车!BQ52</f>
        <v>3910.97142706149</v>
      </c>
      <c r="BR27" s="281"/>
      <c r="BS27" s="94">
        <f>公交!BS52+出租!BS52+网约车!BS52</f>
        <v>4268.68934563621</v>
      </c>
      <c r="BT27" s="281"/>
      <c r="BU27" s="282">
        <f t="shared" si="22"/>
        <v>48988.7221676705</v>
      </c>
    </row>
    <row r="28" s="256" customFormat="1" ht="31.2" customHeight="1" spans="1:73">
      <c r="A28" s="283" t="s">
        <v>104</v>
      </c>
      <c r="B28" s="277" t="s">
        <v>193</v>
      </c>
      <c r="C28" s="94">
        <f>公交!C55+出租!C55+网约车!C55</f>
        <v>379.736868797598</v>
      </c>
      <c r="D28" s="245">
        <f t="shared" si="0"/>
        <v>0.149780874221862</v>
      </c>
      <c r="E28" s="94">
        <f>公交!E55+出租!E55+网约车!E55</f>
        <v>401.335501570298</v>
      </c>
      <c r="F28" s="245">
        <f t="shared" si="1"/>
        <v>0.197941194114263</v>
      </c>
      <c r="G28" s="94">
        <f>公交!G55+出租!G55+网约车!G55</f>
        <v>388.646112667764</v>
      </c>
      <c r="H28" s="245">
        <f t="shared" si="2"/>
        <v>0.22775489122994</v>
      </c>
      <c r="I28" s="94">
        <f>公交!I55+出租!I55+网约车!I55</f>
        <v>382.23010787898</v>
      </c>
      <c r="J28" s="245">
        <f t="shared" si="3"/>
        <v>0.22516013963851</v>
      </c>
      <c r="K28" s="94">
        <f>公交!K55+出租!K55+网约车!K55</f>
        <v>384.166467486813</v>
      </c>
      <c r="L28" s="245">
        <f t="shared" si="4"/>
        <v>0.184076564928553</v>
      </c>
      <c r="M28" s="94">
        <f>公交!M55+出租!M55+网约车!M55</f>
        <v>373.429047495971</v>
      </c>
      <c r="N28" s="245">
        <f t="shared" si="5"/>
        <v>0.206986743224519</v>
      </c>
      <c r="O28" s="94">
        <f>公交!O55+出租!O55+网约车!O55</f>
        <v>362.160798113747</v>
      </c>
      <c r="P28" s="245">
        <f t="shared" si="6"/>
        <v>0.217783892287224</v>
      </c>
      <c r="Q28" s="175"/>
      <c r="R28" s="127"/>
      <c r="S28" s="278">
        <f t="shared" si="7"/>
        <v>2671.70490401117</v>
      </c>
      <c r="T28" s="279">
        <f t="shared" si="8"/>
        <v>0.058328984001925</v>
      </c>
      <c r="U28" s="94"/>
      <c r="V28" s="94">
        <f>公交!V55+出租!V55+网约车!V55</f>
        <v>330.268903676618</v>
      </c>
      <c r="W28" s="245">
        <f t="shared" si="9"/>
        <v>-0.0293109565482716</v>
      </c>
      <c r="X28" s="94">
        <f>公交!X55+出租!X55+网约车!X55</f>
        <v>335.021037378248</v>
      </c>
      <c r="Y28" s="245">
        <f t="shared" si="10"/>
        <v>-0.0806320389962732</v>
      </c>
      <c r="Z28" s="94">
        <f>公交!Z55+出租!Z55+网约车!Z55</f>
        <v>316.550245854387</v>
      </c>
      <c r="AA28" s="245">
        <f t="shared" si="11"/>
        <v>-0.0594072866674161</v>
      </c>
      <c r="AB28" s="94">
        <f>公交!AB55+出租!AB55+网约车!AB55</f>
        <v>311.983793393539</v>
      </c>
      <c r="AC28" s="245">
        <f t="shared" si="12"/>
        <v>-0.0166877274425342</v>
      </c>
      <c r="AD28" s="94">
        <f>公交!AD55+出租!AD55+网约车!AD55</f>
        <v>324.44394126658</v>
      </c>
      <c r="AE28" s="245">
        <f t="shared" si="13"/>
        <v>0.0447382412725068</v>
      </c>
      <c r="AF28" s="94">
        <f>公交!AF55+出租!AF55+网约车!AF55</f>
        <v>309.38951864404</v>
      </c>
      <c r="AG28" s="245">
        <f t="shared" si="14"/>
        <v>-0.0642848812730455</v>
      </c>
      <c r="AH28" s="94">
        <f>公交!AH55+出租!AH55+网约车!AH55</f>
        <v>297.393322745912</v>
      </c>
      <c r="AI28" s="245">
        <f t="shared" si="15"/>
        <v>-0.041438367414534</v>
      </c>
      <c r="AJ28" s="94">
        <f>公交!AJ55+出租!AJ55+网约车!AJ55</f>
        <v>299.405190149404</v>
      </c>
      <c r="AK28" s="245">
        <f t="shared" si="16"/>
        <v>0.00766827434135675</v>
      </c>
      <c r="AL28" s="94">
        <f>公交!AL55+出租!AL55+网约车!AL55</f>
        <v>296.401780260457</v>
      </c>
      <c r="AM28" s="245">
        <f t="shared" si="17"/>
        <v>-0.00342524832015156</v>
      </c>
      <c r="AN28" s="94">
        <f>公交!AN55+出租!AN55+网约车!AN55</f>
        <v>321.31037027831</v>
      </c>
      <c r="AO28" s="245">
        <f t="shared" si="18"/>
        <v>0.0112392569215469</v>
      </c>
      <c r="AP28" s="94">
        <f>公交!AP55+出租!AP55+网约车!AP55</f>
        <v>324.318885039082</v>
      </c>
      <c r="AQ28" s="245">
        <f t="shared" si="19"/>
        <v>0.0109520419956495</v>
      </c>
      <c r="AR28" s="94">
        <f>公交!AR55+出租!AR55+网约车!AR55</f>
        <v>354.399372632442</v>
      </c>
      <c r="AS28" s="245">
        <f t="shared" si="20"/>
        <v>0.0370640491696457</v>
      </c>
      <c r="AT28" s="94">
        <f t="shared" si="23"/>
        <v>3820.88636131902</v>
      </c>
      <c r="AU28" s="245">
        <f t="shared" si="21"/>
        <v>-0.0164363934779967</v>
      </c>
      <c r="AV28" s="280"/>
      <c r="AW28" s="94">
        <f>公交!AW55+出租!AW55+网约车!AW55</f>
        <v>340.241713764684</v>
      </c>
      <c r="AX28" s="281"/>
      <c r="AY28" s="94">
        <f>公交!AY55+出租!AY55+网约车!AY55</f>
        <v>364.403646405609</v>
      </c>
      <c r="AZ28" s="281"/>
      <c r="BA28" s="94">
        <f>公交!BA55+出租!BA55+网约车!BA55</f>
        <v>336.543374584339</v>
      </c>
      <c r="BB28" s="281"/>
      <c r="BC28" s="94">
        <f>公交!BC55+出租!BC55+网约车!BC55</f>
        <v>317.278449685276</v>
      </c>
      <c r="BD28" s="281"/>
      <c r="BE28" s="94">
        <f>公交!BE55+出租!BE55+网约车!BE55</f>
        <v>310.550459865815</v>
      </c>
      <c r="BF28" s="281"/>
      <c r="BG28" s="94">
        <f>公交!BG55+出租!BG55+网约车!BG55</f>
        <v>330.64499274626</v>
      </c>
      <c r="BH28" s="281"/>
      <c r="BI28" s="94">
        <f>公交!BI55+出租!BI55+网约车!BI55</f>
        <v>310.249557917076</v>
      </c>
      <c r="BJ28" s="281"/>
      <c r="BK28" s="94">
        <f>公交!BK55+出租!BK55+网约车!BK55</f>
        <v>297.126740786897</v>
      </c>
      <c r="BL28" s="281"/>
      <c r="BM28" s="94">
        <f>公交!BM55+出租!BM55+网约车!BM55</f>
        <v>297.420519394893</v>
      </c>
      <c r="BN28" s="281"/>
      <c r="BO28" s="94">
        <f>公交!BO55+出租!BO55+网约车!BO55</f>
        <v>317.7392175779</v>
      </c>
      <c r="BP28" s="281"/>
      <c r="BQ28" s="94">
        <f>公交!BQ55+出租!BQ55+网约车!BQ55</f>
        <v>320.805410708571</v>
      </c>
      <c r="BR28" s="281"/>
      <c r="BS28" s="94">
        <f>公交!BS55+出租!BS55+网约车!BS55</f>
        <v>341.733350911355</v>
      </c>
      <c r="BT28" s="281"/>
      <c r="BU28" s="282">
        <f t="shared" si="22"/>
        <v>3884.73743434868</v>
      </c>
    </row>
    <row r="29" s="256" customFormat="1" ht="31.2" customHeight="1" spans="1:73">
      <c r="A29" s="29"/>
      <c r="B29" s="277" t="s">
        <v>194</v>
      </c>
      <c r="C29" s="94">
        <f>公交!C56+出租!C56+网约车!C56</f>
        <v>1726.80313458443</v>
      </c>
      <c r="D29" s="245">
        <f t="shared" si="0"/>
        <v>0.0974487866358973</v>
      </c>
      <c r="E29" s="94">
        <f>公交!E56+出租!E56+网约车!E56</f>
        <v>1846.44627563895</v>
      </c>
      <c r="F29" s="245">
        <f t="shared" si="1"/>
        <v>0.156610309122055</v>
      </c>
      <c r="G29" s="94">
        <f>公交!G56+出租!G56+网约车!G56</f>
        <v>1785.24648059109</v>
      </c>
      <c r="H29" s="245">
        <f t="shared" si="2"/>
        <v>0.185972029110997</v>
      </c>
      <c r="I29" s="94">
        <f>公交!I56+出租!I56+网约车!I56</f>
        <v>1761.86331092894</v>
      </c>
      <c r="J29" s="245">
        <f t="shared" si="3"/>
        <v>0.189766855231857</v>
      </c>
      <c r="K29" s="94">
        <f>公交!K56+出租!K56+网约车!K56</f>
        <v>1775.72165167796</v>
      </c>
      <c r="L29" s="245">
        <f t="shared" si="4"/>
        <v>0.15682140605681</v>
      </c>
      <c r="M29" s="94">
        <f>公交!M56+出租!M56+网约车!M56</f>
        <v>1716.88155144826</v>
      </c>
      <c r="N29" s="245">
        <f t="shared" si="5"/>
        <v>0.175391539646041</v>
      </c>
      <c r="O29" s="94">
        <f>公交!O56+出租!O56+网约车!O56</f>
        <v>1655.90201321761</v>
      </c>
      <c r="P29" s="245">
        <f t="shared" si="6"/>
        <v>0.185655593387352</v>
      </c>
      <c r="Q29" s="175"/>
      <c r="R29" s="127"/>
      <c r="S29" s="278">
        <f t="shared" si="7"/>
        <v>12268.8644180872</v>
      </c>
      <c r="T29" s="279">
        <f t="shared" si="8"/>
        <v>0.0264826418245359</v>
      </c>
      <c r="U29" s="94"/>
      <c r="V29" s="94">
        <f>公交!V56+出租!V56+网约车!V56</f>
        <v>1573.47035744396</v>
      </c>
      <c r="W29" s="245">
        <f t="shared" si="9"/>
        <v>0.0239112861983455</v>
      </c>
      <c r="X29" s="94">
        <f>公交!X56+出租!X56+网约车!X56</f>
        <v>1596.42903152102</v>
      </c>
      <c r="Y29" s="245">
        <f t="shared" si="10"/>
        <v>-0.072716805572748</v>
      </c>
      <c r="Z29" s="94">
        <f>公交!Z56+出租!Z56+网约车!Z56</f>
        <v>1505.30234842833</v>
      </c>
      <c r="AA29" s="245">
        <f t="shared" si="11"/>
        <v>-0.0450625190319135</v>
      </c>
      <c r="AB29" s="94">
        <f>公交!AB56+出租!AB56+网约车!AB56</f>
        <v>1480.84753175074</v>
      </c>
      <c r="AC29" s="245">
        <f t="shared" si="12"/>
        <v>0.000356353606313586</v>
      </c>
      <c r="AD29" s="94">
        <f>公交!AD56+出租!AD56+网约车!AD56</f>
        <v>1535.00068582821</v>
      </c>
      <c r="AE29" s="245">
        <f t="shared" si="13"/>
        <v>0.0552132137506454</v>
      </c>
      <c r="AF29" s="94">
        <f>公交!AF56+出租!AF56+网约车!AF56</f>
        <v>1460.68905002096</v>
      </c>
      <c r="AG29" s="245">
        <f t="shared" si="14"/>
        <v>-0.0612183974719256</v>
      </c>
      <c r="AH29" s="94">
        <f>公交!AH56+出租!AH56+网约车!AH56</f>
        <v>1396.61299828797</v>
      </c>
      <c r="AI29" s="245">
        <f t="shared" si="15"/>
        <v>-0.038987380762465</v>
      </c>
      <c r="AJ29" s="94">
        <f>公交!AJ56+出租!AJ56+网约车!AJ56</f>
        <v>1403.98300774224</v>
      </c>
      <c r="AK29" s="245">
        <f t="shared" si="16"/>
        <v>0.00538290810437259</v>
      </c>
      <c r="AL29" s="94">
        <f>公交!AL56+出租!AL56+网约车!AL56</f>
        <v>1391.91036347679</v>
      </c>
      <c r="AM29" s="245">
        <f t="shared" si="17"/>
        <v>-0.00580341991009714</v>
      </c>
      <c r="AN29" s="94">
        <f>公交!AN56+出租!AN56+网约车!AN56</f>
        <v>1510.55714936298</v>
      </c>
      <c r="AO29" s="245">
        <f t="shared" si="18"/>
        <v>0.0104704745035555</v>
      </c>
      <c r="AP29" s="94">
        <f>公交!AP56+出租!AP56+网约车!AP56</f>
        <v>1514.83642596191</v>
      </c>
      <c r="AQ29" s="245">
        <f t="shared" si="19"/>
        <v>0.00748796983362299</v>
      </c>
      <c r="AR29" s="94">
        <f>公交!AR56+出租!AR56+网约车!AR56</f>
        <v>1635.95984841915</v>
      </c>
      <c r="AS29" s="245">
        <f t="shared" si="20"/>
        <v>0.0169668784726502</v>
      </c>
      <c r="AT29" s="94">
        <f t="shared" si="23"/>
        <v>18005.5987982443</v>
      </c>
      <c r="AU29" s="245">
        <f t="shared" si="21"/>
        <v>-0.00973176928690722</v>
      </c>
      <c r="AV29" s="280"/>
      <c r="AW29" s="94">
        <f>公交!AW56+出租!AW56+网约车!AW56</f>
        <v>1536.72527947813</v>
      </c>
      <c r="AX29" s="281"/>
      <c r="AY29" s="94">
        <f>公交!AY56+出租!AY56+网约车!AY56</f>
        <v>1721.61971781131</v>
      </c>
      <c r="AZ29" s="281"/>
      <c r="BA29" s="94">
        <f>公交!BA56+出租!BA56+网约车!BA56</f>
        <v>1576.33602034586</v>
      </c>
      <c r="BB29" s="281"/>
      <c r="BC29" s="94">
        <f>公交!BC56+出租!BC56+网约车!BC56</f>
        <v>1480.32001437512</v>
      </c>
      <c r="BD29" s="281"/>
      <c r="BE29" s="94">
        <f>公交!BE56+出租!BE56+网约车!BE56</f>
        <v>1454.68296437666</v>
      </c>
      <c r="BF29" s="281"/>
      <c r="BG29" s="94">
        <f>公交!BG56+出租!BG56+网约车!BG56</f>
        <v>1555.94128185664</v>
      </c>
      <c r="BH29" s="281"/>
      <c r="BI29" s="94">
        <f>公交!BI56+出租!BI56+网约车!BI56</f>
        <v>1453.27227793954</v>
      </c>
      <c r="BJ29" s="281"/>
      <c r="BK29" s="94">
        <f>公交!BK56+出租!BK56+网约车!BK56</f>
        <v>1396.4659598097</v>
      </c>
      <c r="BL29" s="281"/>
      <c r="BM29" s="94">
        <f>公交!BM56+出租!BM56+网约车!BM56</f>
        <v>1400.03535653978</v>
      </c>
      <c r="BN29" s="281"/>
      <c r="BO29" s="94">
        <f>公交!BO56+出租!BO56+网约车!BO56</f>
        <v>1494.90478690643</v>
      </c>
      <c r="BP29" s="281"/>
      <c r="BQ29" s="94">
        <f>公交!BQ56+出租!BQ56+网约车!BQ56</f>
        <v>1503.57768163929</v>
      </c>
      <c r="BR29" s="281"/>
      <c r="BS29" s="94">
        <f>公交!BS56+出租!BS56+网约车!BS56</f>
        <v>1608.66581109912</v>
      </c>
      <c r="BT29" s="281"/>
      <c r="BU29" s="282">
        <f t="shared" si="22"/>
        <v>18182.5471521776</v>
      </c>
    </row>
    <row r="30" s="256" customFormat="1" ht="31.2" customHeight="1" spans="1:73">
      <c r="A30" s="283" t="s">
        <v>195</v>
      </c>
      <c r="B30" s="277" t="s">
        <v>193</v>
      </c>
      <c r="C30" s="94">
        <f>公交!C59+出租!C59+网约车!C59</f>
        <v>1099.90086915884</v>
      </c>
      <c r="D30" s="245">
        <f t="shared" si="0"/>
        <v>0.0765887605609188</v>
      </c>
      <c r="E30" s="94">
        <f>公交!E59+出租!E59+网约车!E59</f>
        <v>949.369628175924</v>
      </c>
      <c r="F30" s="245">
        <f t="shared" si="1"/>
        <v>0.0317976047595869</v>
      </c>
      <c r="G30" s="94">
        <f>公交!G59+出租!G59+网约车!G59</f>
        <v>1078.10126204857</v>
      </c>
      <c r="H30" s="245">
        <f t="shared" si="2"/>
        <v>0.0794035590497502</v>
      </c>
      <c r="I30" s="94">
        <f>公交!I59+出租!I59+网约车!I59</f>
        <v>1092.8971696214</v>
      </c>
      <c r="J30" s="245">
        <f t="shared" si="3"/>
        <v>0.073762991085248</v>
      </c>
      <c r="K30" s="94">
        <f>公交!K59+出租!K59+网约车!K59</f>
        <v>1156.29512427672</v>
      </c>
      <c r="L30" s="245">
        <f t="shared" si="4"/>
        <v>0.120259811713418</v>
      </c>
      <c r="M30" s="94">
        <f>公交!M59+出租!M59+网约车!M59</f>
        <v>1117.67749459809</v>
      </c>
      <c r="N30" s="245">
        <f t="shared" si="5"/>
        <v>0.0667439486368242</v>
      </c>
      <c r="O30" s="94">
        <f>公交!O59+出租!O59+网约车!O59</f>
        <v>1143.76520422355</v>
      </c>
      <c r="P30" s="245">
        <f t="shared" si="6"/>
        <v>0.0812244188462292</v>
      </c>
      <c r="Q30" s="175"/>
      <c r="R30" s="127"/>
      <c r="S30" s="278">
        <f t="shared" si="7"/>
        <v>7638.00675210309</v>
      </c>
      <c r="T30" s="279">
        <f t="shared" si="8"/>
        <v>-0.0628625438489655</v>
      </c>
      <c r="U30" s="94"/>
      <c r="V30" s="94">
        <f>公交!V59+出租!V59+网约车!V59</f>
        <v>1021.65368007908</v>
      </c>
      <c r="W30" s="245">
        <f t="shared" si="9"/>
        <v>-0.0545172197870346</v>
      </c>
      <c r="X30" s="94">
        <f>公交!X59+出租!X59+网约车!X59</f>
        <v>920.112262130257</v>
      </c>
      <c r="Y30" s="245">
        <f t="shared" si="10"/>
        <v>-0.00860497228327717</v>
      </c>
      <c r="Z30" s="94">
        <f>公交!Z59+出租!Z59+网约车!Z59</f>
        <v>998.793503143226</v>
      </c>
      <c r="AA30" s="245">
        <f t="shared" si="11"/>
        <v>-0.0196849786086013</v>
      </c>
      <c r="AB30" s="94">
        <f>公交!AB59+出租!AB59+网约车!AB59</f>
        <v>1017.81974113004</v>
      </c>
      <c r="AC30" s="245">
        <f t="shared" si="12"/>
        <v>-0.0506821300376946</v>
      </c>
      <c r="AD30" s="94">
        <f>公交!AD59+出租!AD59+网约车!AD59</f>
        <v>1032.1669243032</v>
      </c>
      <c r="AE30" s="245">
        <f t="shared" si="13"/>
        <v>-0.016858459443416</v>
      </c>
      <c r="AF30" s="94">
        <f>公交!AF59+出租!AF59+网约车!AF59</f>
        <v>1047.74673999919</v>
      </c>
      <c r="AG30" s="245">
        <f t="shared" si="14"/>
        <v>-0.0249576385791022</v>
      </c>
      <c r="AH30" s="94">
        <f>公交!AH59+出租!AH59+网约车!AH59</f>
        <v>1057.84255727785</v>
      </c>
      <c r="AI30" s="245">
        <f t="shared" si="15"/>
        <v>-0.0356200993167254</v>
      </c>
      <c r="AJ30" s="94">
        <f>公交!AJ59+出租!AJ59+网约车!AJ59</f>
        <v>1054.2236475591</v>
      </c>
      <c r="AK30" s="245">
        <f t="shared" si="16"/>
        <v>-0.0174403187834919</v>
      </c>
      <c r="AL30" s="94">
        <f>公交!AL59+出租!AL59+网约车!AL59</f>
        <v>1017.06124802596</v>
      </c>
      <c r="AM30" s="245">
        <f t="shared" si="17"/>
        <v>-0.00909366099197151</v>
      </c>
      <c r="AN30" s="94">
        <f>公交!AN59+出租!AN59+网约车!AN59</f>
        <v>1123.34670915479</v>
      </c>
      <c r="AO30" s="245">
        <f t="shared" si="18"/>
        <v>0.105718290964334</v>
      </c>
      <c r="AP30" s="94">
        <f>公交!AP59+出租!AP59+网约车!AP59</f>
        <v>1112.00626048399</v>
      </c>
      <c r="AQ30" s="245">
        <f t="shared" si="19"/>
        <v>0.120365633685536</v>
      </c>
      <c r="AR30" s="94">
        <f>公交!AR59+出租!AR59+网约车!AR59</f>
        <v>1113.53291222551</v>
      </c>
      <c r="AS30" s="245">
        <f t="shared" si="20"/>
        <v>0.0841683978264913</v>
      </c>
      <c r="AT30" s="94">
        <f t="shared" si="23"/>
        <v>12516.3061855122</v>
      </c>
      <c r="AU30" s="245">
        <f t="shared" si="21"/>
        <v>0.00484850160839811</v>
      </c>
      <c r="AV30" s="280"/>
      <c r="AW30" s="94">
        <f>公交!AW59+出租!AW59+网约车!AW59</f>
        <v>1080.56296895112</v>
      </c>
      <c r="AX30" s="281"/>
      <c r="AY30" s="94">
        <f>公交!AY59+出租!AY59+网约车!AY59</f>
        <v>928.09852420721</v>
      </c>
      <c r="AZ30" s="281"/>
      <c r="BA30" s="94">
        <f>公交!BA59+出租!BA59+网约车!BA59</f>
        <v>1018.84953443394</v>
      </c>
      <c r="BB30" s="281"/>
      <c r="BC30" s="94">
        <f>公交!BC59+出租!BC59+网约车!BC59</f>
        <v>1072.15904528423</v>
      </c>
      <c r="BD30" s="281"/>
      <c r="BE30" s="94">
        <f>公交!BE59+出租!BE59+网约车!BE59</f>
        <v>1049.8660485029</v>
      </c>
      <c r="BF30" s="281"/>
      <c r="BG30" s="94">
        <f>公交!BG59+出租!BG59+网约车!BG59</f>
        <v>1074.56535372714</v>
      </c>
      <c r="BH30" s="281"/>
      <c r="BI30" s="94">
        <f>公交!BI59+出租!BI59+网约车!BI59</f>
        <v>1096.91477033932</v>
      </c>
      <c r="BJ30" s="281"/>
      <c r="BK30" s="94">
        <f>公交!BK59+出租!BK59+网约车!BK59</f>
        <v>1072.93599331683</v>
      </c>
      <c r="BL30" s="281"/>
      <c r="BM30" s="94">
        <f>公交!BM59+出租!BM59+网约车!BM59</f>
        <v>1026.39493561431</v>
      </c>
      <c r="BN30" s="281"/>
      <c r="BO30" s="94">
        <f>公交!BO59+出租!BO59+网约车!BO59</f>
        <v>1015.94295611686</v>
      </c>
      <c r="BP30" s="281"/>
      <c r="BQ30" s="94">
        <f>公交!BQ59+出租!BQ59+网约车!BQ59</f>
        <v>992.538709729925</v>
      </c>
      <c r="BR30" s="281"/>
      <c r="BS30" s="94">
        <f>公交!BS59+出租!BS59+网约车!BS59</f>
        <v>1027.08482783476</v>
      </c>
      <c r="BT30" s="281"/>
      <c r="BU30" s="282">
        <f t="shared" si="22"/>
        <v>12455.9136680585</v>
      </c>
    </row>
    <row r="31" s="256" customFormat="1" ht="31.2" customHeight="1" spans="1:73">
      <c r="A31" s="29"/>
      <c r="B31" s="277" t="s">
        <v>194</v>
      </c>
      <c r="C31" s="94">
        <f>公交!C60+出租!C60+网约车!C60</f>
        <v>5333.74801233683</v>
      </c>
      <c r="D31" s="245">
        <f t="shared" si="0"/>
        <v>0.0636299509405802</v>
      </c>
      <c r="E31" s="94">
        <f>公交!E60+出租!E60+网约车!E60</f>
        <v>4602.78339859027</v>
      </c>
      <c r="F31" s="245">
        <f t="shared" si="1"/>
        <v>0.0547043567274923</v>
      </c>
      <c r="G31" s="94">
        <f>公交!G60+出租!G60+网约车!G60</f>
        <v>5244.73359373954</v>
      </c>
      <c r="H31" s="245">
        <f t="shared" si="2"/>
        <v>0.104618988377951</v>
      </c>
      <c r="I31" s="94">
        <f>公交!I60+出租!I60+网约车!I60</f>
        <v>5319.8290263671</v>
      </c>
      <c r="J31" s="245">
        <f t="shared" si="3"/>
        <v>0.109474459664883</v>
      </c>
      <c r="K31" s="94">
        <f>公交!K60+出租!K60+网约车!K60</f>
        <v>5624.26567092433</v>
      </c>
      <c r="L31" s="245">
        <f t="shared" si="4"/>
        <v>0.164845936693437</v>
      </c>
      <c r="M31" s="94">
        <f>公交!M60+出租!M60+网约车!M60</f>
        <v>5384.82808952771</v>
      </c>
      <c r="N31" s="245">
        <f t="shared" si="5"/>
        <v>0.100610423090308</v>
      </c>
      <c r="O31" s="94">
        <f>公交!O60+出租!O60+网约车!O60</f>
        <v>5448.62524238003</v>
      </c>
      <c r="P31" s="245">
        <f t="shared" si="6"/>
        <v>0.105287241913628</v>
      </c>
      <c r="Q31" s="175"/>
      <c r="R31" s="127"/>
      <c r="S31" s="278">
        <f t="shared" si="7"/>
        <v>36958.8130338658</v>
      </c>
      <c r="T31" s="279">
        <f t="shared" si="8"/>
        <v>-0.0503187388905659</v>
      </c>
      <c r="U31" s="94"/>
      <c r="V31" s="94">
        <f>公交!V60+出租!V60+网约车!V60</f>
        <v>5014.66511696115</v>
      </c>
      <c r="W31" s="245">
        <f t="shared" si="9"/>
        <v>0.142380567535003</v>
      </c>
      <c r="X31" s="94">
        <f>公交!X60+出租!X60+网约车!X60</f>
        <v>4364.05080649487</v>
      </c>
      <c r="Y31" s="245">
        <f t="shared" si="10"/>
        <v>0.205978885609765</v>
      </c>
      <c r="Z31" s="94">
        <f>公交!Z60+出租!Z60+网约车!Z60</f>
        <v>4748.00238717699</v>
      </c>
      <c r="AA31" s="245">
        <f t="shared" si="11"/>
        <v>0.172755445270522</v>
      </c>
      <c r="AB31" s="94">
        <f>公交!AB60+出租!AB60+网约车!AB60</f>
        <v>4794.90895894436</v>
      </c>
      <c r="AC31" s="245">
        <f t="shared" si="12"/>
        <v>-0.0751464684765228</v>
      </c>
      <c r="AD31" s="94">
        <f>公交!AD60+出租!AD60+网约车!AD60</f>
        <v>4828.33436916948</v>
      </c>
      <c r="AE31" s="245">
        <f t="shared" si="13"/>
        <v>-0.0495813482906988</v>
      </c>
      <c r="AF31" s="94">
        <f>公交!AF60+出租!AF60+网约车!AF60</f>
        <v>4892.58322159817</v>
      </c>
      <c r="AG31" s="245">
        <f t="shared" si="14"/>
        <v>-0.0660665736954634</v>
      </c>
      <c r="AH31" s="94">
        <f>公交!AH60+出租!AH60+网约车!AH60</f>
        <v>4929.6011351281</v>
      </c>
      <c r="AI31" s="245">
        <f t="shared" si="15"/>
        <v>-0.0161206294657341</v>
      </c>
      <c r="AJ31" s="94">
        <f>公交!AJ60+出租!AJ60+网约车!AJ60</f>
        <v>5344.92497072651</v>
      </c>
      <c r="AK31" s="245">
        <f t="shared" si="16"/>
        <v>0.0862338715425299</v>
      </c>
      <c r="AL31" s="94">
        <f>公交!AL60+出租!AL60+网约车!AL60</f>
        <v>5256.49391607298</v>
      </c>
      <c r="AM31" s="245">
        <f t="shared" si="17"/>
        <v>0.118804325299223</v>
      </c>
      <c r="AN31" s="94">
        <f>公交!AN60+出租!AN60+网约车!AN60</f>
        <v>5687.65328481349</v>
      </c>
      <c r="AO31" s="245">
        <f t="shared" si="18"/>
        <v>0.220390974480123</v>
      </c>
      <c r="AP31" s="94">
        <f>公交!AP60+出租!AP60+网约车!AP60</f>
        <v>5647.85600864571</v>
      </c>
      <c r="AQ31" s="245">
        <f t="shared" si="19"/>
        <v>0.240527387458035</v>
      </c>
      <c r="AR31" s="94">
        <f>公交!AR60+出租!AR60+网约车!AR60</f>
        <v>5663.91031005848</v>
      </c>
      <c r="AS31" s="245">
        <f t="shared" si="20"/>
        <v>0.198116309956943</v>
      </c>
      <c r="AT31" s="94">
        <f t="shared" si="23"/>
        <v>61172.9844857903</v>
      </c>
      <c r="AU31" s="245">
        <f t="shared" si="21"/>
        <v>0.0898393683736451</v>
      </c>
      <c r="AV31" s="280"/>
      <c r="AW31" s="94">
        <f>公交!AW60+出租!AW60+网约车!AW60</f>
        <v>4389.66248155083</v>
      </c>
      <c r="AX31" s="281"/>
      <c r="AY31" s="94">
        <f>公交!AY60+出租!AY60+网约车!AY60</f>
        <v>3618.67928084688</v>
      </c>
      <c r="AZ31" s="281"/>
      <c r="BA31" s="94">
        <f>公交!BA60+出租!BA60+网约车!BA60</f>
        <v>4048.58694651531</v>
      </c>
      <c r="BB31" s="281"/>
      <c r="BC31" s="94">
        <f>公交!BC60+出租!BC60+网约车!BC60</f>
        <v>5184.50629803606</v>
      </c>
      <c r="BD31" s="281"/>
      <c r="BE31" s="94">
        <f>公交!BE60+出租!BE60+网约车!BE60</f>
        <v>5080.21844950733</v>
      </c>
      <c r="BF31" s="281"/>
      <c r="BG31" s="94">
        <f>公交!BG60+出租!BG60+网约车!BG60</f>
        <v>5238.68520367404</v>
      </c>
      <c r="BH31" s="281"/>
      <c r="BI31" s="94">
        <f>公交!BI60+出租!BI60+网约车!BI60</f>
        <v>5010.37147719769</v>
      </c>
      <c r="BJ31" s="281"/>
      <c r="BK31" s="94">
        <f>公交!BK60+出租!BK60+网约车!BK60</f>
        <v>4920.60237740178</v>
      </c>
      <c r="BL31" s="281"/>
      <c r="BM31" s="94">
        <f>公交!BM60+出租!BM60+网约车!BM60</f>
        <v>4698.31390280614</v>
      </c>
      <c r="BN31" s="281"/>
      <c r="BO31" s="94">
        <f>公交!BO60+出租!BO60+网约车!BO60</f>
        <v>4660.51732907677</v>
      </c>
      <c r="BP31" s="281"/>
      <c r="BQ31" s="94">
        <f>公交!BQ60+出租!BQ60+网约车!BQ60</f>
        <v>4552.78623087777</v>
      </c>
      <c r="BR31" s="281"/>
      <c r="BS31" s="94">
        <f>公交!BS60+出租!BS60+网约车!BS60</f>
        <v>4727.34597049432</v>
      </c>
      <c r="BT31" s="281"/>
      <c r="BU31" s="282">
        <f t="shared" si="22"/>
        <v>56130.2759479849</v>
      </c>
    </row>
    <row r="32" s="256" customFormat="1" ht="31.2" customHeight="1" spans="1:73">
      <c r="A32" s="283" t="s">
        <v>106</v>
      </c>
      <c r="B32" s="277" t="s">
        <v>193</v>
      </c>
      <c r="C32" s="94">
        <f>公交!C63+出租!C63+网约车!C63</f>
        <v>246.320758118498</v>
      </c>
      <c r="D32" s="245">
        <f t="shared" si="0"/>
        <v>-0.103850202947613</v>
      </c>
      <c r="E32" s="94">
        <f>公交!E63+出租!E63+网约车!E63</f>
        <v>241.50899930705</v>
      </c>
      <c r="F32" s="245">
        <f t="shared" si="1"/>
        <v>-0.144160465187506</v>
      </c>
      <c r="G32" s="94">
        <f>公交!G63+出租!G63+网约车!G63</f>
        <v>254.881017838647</v>
      </c>
      <c r="H32" s="245">
        <f t="shared" si="2"/>
        <v>-0.1040494790249</v>
      </c>
      <c r="I32" s="94">
        <f>公交!I63+出租!I63+网约车!I63</f>
        <v>259.946229790657</v>
      </c>
      <c r="J32" s="245">
        <f t="shared" si="3"/>
        <v>-0.102439407869852</v>
      </c>
      <c r="K32" s="94">
        <f>公交!K63+出租!K63+网约车!K63</f>
        <v>273.13842913976</v>
      </c>
      <c r="L32" s="245">
        <f t="shared" si="4"/>
        <v>-0.136247936406487</v>
      </c>
      <c r="M32" s="94">
        <f>公交!M63+出租!M63+网约车!M63</f>
        <v>257.936425955032</v>
      </c>
      <c r="N32" s="245">
        <f t="shared" si="5"/>
        <v>-0.138214427691583</v>
      </c>
      <c r="O32" s="94">
        <f>公交!O63+出租!O63+网约车!O63</f>
        <v>249.641551338828</v>
      </c>
      <c r="P32" s="245">
        <f t="shared" si="6"/>
        <v>0.311167593404909</v>
      </c>
      <c r="Q32" s="175"/>
      <c r="R32" s="127"/>
      <c r="S32" s="278">
        <f t="shared" si="7"/>
        <v>1783.37341148847</v>
      </c>
      <c r="T32" s="279">
        <f t="shared" si="8"/>
        <v>-0.150760181713835</v>
      </c>
      <c r="U32" s="94"/>
      <c r="V32" s="94">
        <f>公交!V63+出租!V63+网约车!V63</f>
        <v>274.865607210642</v>
      </c>
      <c r="W32" s="245">
        <f t="shared" si="9"/>
        <v>-0.371994695249881</v>
      </c>
      <c r="X32" s="94">
        <f>公交!X63+出租!X63+网约车!X63</f>
        <v>282.189580503502</v>
      </c>
      <c r="Y32" s="245">
        <f t="shared" si="10"/>
        <v>-0.331837073598167</v>
      </c>
      <c r="Z32" s="94">
        <f>公交!Z63+出租!Z63+网约车!Z63</f>
        <v>284.4811313478</v>
      </c>
      <c r="AA32" s="245">
        <f t="shared" si="11"/>
        <v>-0.326662141407282</v>
      </c>
      <c r="AB32" s="94">
        <f>公交!AB63+出租!AB63+网约车!AB63</f>
        <v>289.61412975333</v>
      </c>
      <c r="AC32" s="245">
        <f t="shared" si="12"/>
        <v>-0.298775027811112</v>
      </c>
      <c r="AD32" s="94">
        <f>公交!AD63+出租!AD63+网约车!AD63</f>
        <v>316.22318562506</v>
      </c>
      <c r="AE32" s="245">
        <f t="shared" si="13"/>
        <v>-0.218679660470469</v>
      </c>
      <c r="AF32" s="94">
        <f>公交!AF63+出租!AF63+网约车!AF63</f>
        <v>299.304646356648</v>
      </c>
      <c r="AG32" s="245">
        <f t="shared" si="14"/>
        <v>-0.370828353751476</v>
      </c>
      <c r="AH32" s="94">
        <f>公交!AH63+出租!AH63+网约车!AH63</f>
        <v>190.39637083353</v>
      </c>
      <c r="AI32" s="245">
        <f t="shared" si="15"/>
        <v>-0.58078482357868</v>
      </c>
      <c r="AJ32" s="94">
        <f>公交!AJ63+出租!AJ63+网约车!AJ63</f>
        <v>162.889779014608</v>
      </c>
      <c r="AK32" s="245">
        <f t="shared" si="16"/>
        <v>-0.672761042212332</v>
      </c>
      <c r="AL32" s="94">
        <f>公交!AL63+出租!AL63+网约车!AL63</f>
        <v>159.936396231021</v>
      </c>
      <c r="AM32" s="245">
        <f t="shared" si="17"/>
        <v>-0.62309323196622</v>
      </c>
      <c r="AN32" s="94">
        <f>公交!AN63+出租!AN63+网约车!AN63</f>
        <v>171.166827427058</v>
      </c>
      <c r="AO32" s="245">
        <f t="shared" si="18"/>
        <v>-0.589021651847489</v>
      </c>
      <c r="AP32" s="94">
        <f>公交!AP63+出租!AP63+网约车!AP63</f>
        <v>184.186384328919</v>
      </c>
      <c r="AQ32" s="245">
        <f t="shared" si="19"/>
        <v>-0.511102238474718</v>
      </c>
      <c r="AR32" s="94">
        <f>公交!AR63+出租!AR63+网约车!AR63</f>
        <v>221.897680923128</v>
      </c>
      <c r="AS32" s="245">
        <f t="shared" si="20"/>
        <v>-0.433178271665391</v>
      </c>
      <c r="AT32" s="94">
        <f t="shared" si="23"/>
        <v>2837.15171955525</v>
      </c>
      <c r="AU32" s="245">
        <f t="shared" si="21"/>
        <v>-0.447697031748321</v>
      </c>
      <c r="AV32" s="280"/>
      <c r="AW32" s="94">
        <f>公交!AW63+出租!AW63+网约车!AW63</f>
        <v>437.680390804995</v>
      </c>
      <c r="AX32" s="281"/>
      <c r="AY32" s="94">
        <f>公交!AY63+出租!AY63+网约车!AY63</f>
        <v>422.336483143623</v>
      </c>
      <c r="AZ32" s="281"/>
      <c r="BA32" s="94">
        <f>公交!BA63+出租!BA63+网约车!BA63</f>
        <v>422.493890277264</v>
      </c>
      <c r="BB32" s="281"/>
      <c r="BC32" s="94">
        <f>公交!BC63+出租!BC63+网约车!BC63</f>
        <v>413.011716980492</v>
      </c>
      <c r="BD32" s="281"/>
      <c r="BE32" s="94">
        <f>公交!BE63+出租!BE63+网约车!BE63</f>
        <v>404.729237965919</v>
      </c>
      <c r="BF32" s="281"/>
      <c r="BG32" s="94">
        <f>公交!BG63+出租!BG63+网约车!BG63</f>
        <v>475.712229152841</v>
      </c>
      <c r="BH32" s="281"/>
      <c r="BI32" s="94">
        <f>公交!BI63+出租!BI63+网约车!BI63</f>
        <v>454.173373347002</v>
      </c>
      <c r="BJ32" s="281"/>
      <c r="BK32" s="94">
        <f>公交!BK63+出租!BK63+网约车!BK63</f>
        <v>497.770131392181</v>
      </c>
      <c r="BL32" s="281"/>
      <c r="BM32" s="94">
        <f>公交!BM63+出租!BM63+网约车!BM63</f>
        <v>424.339411747276</v>
      </c>
      <c r="BN32" s="281"/>
      <c r="BO32" s="94">
        <f>公交!BO63+出租!BO63+网约车!BO63</f>
        <v>416.486241176723</v>
      </c>
      <c r="BP32" s="281"/>
      <c r="BQ32" s="94">
        <f>公交!BQ63+出租!BQ63+网约车!BQ63</f>
        <v>376.738039778065</v>
      </c>
      <c r="BR32" s="281"/>
      <c r="BS32" s="94">
        <f>公交!BS63+出租!BS63+网约车!BS63</f>
        <v>391.477019723803</v>
      </c>
      <c r="BT32" s="281"/>
      <c r="BU32" s="282">
        <f t="shared" si="22"/>
        <v>5136.94816549018</v>
      </c>
    </row>
    <row r="33" s="256" customFormat="1" ht="31.2" customHeight="1" spans="1:73">
      <c r="A33" s="29"/>
      <c r="B33" s="277" t="s">
        <v>194</v>
      </c>
      <c r="C33" s="94">
        <f>公交!C64+出租!C64+网约车!C64</f>
        <v>1237.8723941287</v>
      </c>
      <c r="D33" s="245">
        <f t="shared" si="0"/>
        <v>-0.103531475565622</v>
      </c>
      <c r="E33" s="94">
        <f>公交!E64+出租!E64+网约车!E64</f>
        <v>1398.09470481359</v>
      </c>
      <c r="F33" s="245">
        <f t="shared" si="1"/>
        <v>-0.030632466565952</v>
      </c>
      <c r="G33" s="94">
        <f>公交!G64+出租!G64+网约车!G64</f>
        <v>1501.17761338372</v>
      </c>
      <c r="H33" s="245">
        <f t="shared" si="2"/>
        <v>0.046454324481543</v>
      </c>
      <c r="I33" s="94">
        <f>公交!I64+出租!I64+网约车!I64</f>
        <v>1549.99252838425</v>
      </c>
      <c r="J33" s="245">
        <f t="shared" si="3"/>
        <v>-0.0126952325247909</v>
      </c>
      <c r="K33" s="94">
        <f>公交!K64+出租!K64+网约车!K64</f>
        <v>1646.32707505095</v>
      </c>
      <c r="L33" s="245">
        <f t="shared" si="4"/>
        <v>-0.0485230483689014</v>
      </c>
      <c r="M33" s="94">
        <f>公交!M64+出租!M64+网约车!M64</f>
        <v>1527.6943659711</v>
      </c>
      <c r="N33" s="245">
        <f t="shared" si="5"/>
        <v>-0.00386729718753487</v>
      </c>
      <c r="O33" s="94">
        <f>公交!O64+出租!O64+网约车!O64</f>
        <v>1451.66514712527</v>
      </c>
      <c r="P33" s="245">
        <f t="shared" si="6"/>
        <v>0.385520482838585</v>
      </c>
      <c r="Q33" s="175"/>
      <c r="R33" s="127"/>
      <c r="S33" s="278">
        <f t="shared" si="7"/>
        <v>10312.8238288576</v>
      </c>
      <c r="T33" s="279">
        <f t="shared" si="8"/>
        <v>-0.0606216818096006</v>
      </c>
      <c r="U33" s="94"/>
      <c r="V33" s="94">
        <f>公交!V64+出租!V64+网约车!V64</f>
        <v>1380.83196497025</v>
      </c>
      <c r="W33" s="245">
        <f t="shared" si="9"/>
        <v>-0.3294573637011</v>
      </c>
      <c r="X33" s="94">
        <f>公交!X64+出租!X64+网约车!X64</f>
        <v>1442.27515012882</v>
      </c>
      <c r="Y33" s="245">
        <f t="shared" si="10"/>
        <v>-0.291682015198341</v>
      </c>
      <c r="Z33" s="94">
        <f>公交!Z64+出租!Z64+网约车!Z64</f>
        <v>1434.53715873119</v>
      </c>
      <c r="AA33" s="245">
        <f t="shared" si="11"/>
        <v>-0.239301334665967</v>
      </c>
      <c r="AB33" s="94">
        <f>公交!AB64+出租!AB64+网约车!AB64</f>
        <v>1569.92306676283</v>
      </c>
      <c r="AC33" s="245">
        <f t="shared" si="12"/>
        <v>-0.148567440162292</v>
      </c>
      <c r="AD33" s="94">
        <f>公交!AD64+出租!AD64+网约车!AD64</f>
        <v>1730.28581746376</v>
      </c>
      <c r="AE33" s="245">
        <f t="shared" si="13"/>
        <v>-0.04336123944743</v>
      </c>
      <c r="AF33" s="94">
        <f>公交!AF64+出租!AF64+网约车!AF64</f>
        <v>1533.62535097767</v>
      </c>
      <c r="AG33" s="245">
        <f t="shared" si="14"/>
        <v>-0.246994577992481</v>
      </c>
      <c r="AH33" s="94">
        <f>公交!AH64+出租!AH64+网约车!AH64</f>
        <v>1047.73993968763</v>
      </c>
      <c r="AI33" s="245">
        <f t="shared" si="15"/>
        <v>-0.485317733212637</v>
      </c>
      <c r="AJ33" s="94">
        <f>公交!AJ64+出租!AJ64+网约车!AJ64</f>
        <v>839.131412198642</v>
      </c>
      <c r="AK33" s="245">
        <f t="shared" si="16"/>
        <v>-0.606752359872611</v>
      </c>
      <c r="AL33" s="94">
        <f>公交!AL64+出租!AL64+网约车!AL64</f>
        <v>817.664051500452</v>
      </c>
      <c r="AM33" s="245">
        <f t="shared" si="17"/>
        <v>-0.57154594758387</v>
      </c>
      <c r="AN33" s="94">
        <f>公交!AN64+出租!AN64+网约车!AN64</f>
        <v>861.770070239012</v>
      </c>
      <c r="AO33" s="245">
        <f t="shared" si="18"/>
        <v>-0.534733038894187</v>
      </c>
      <c r="AP33" s="94">
        <f>公交!AP64+出租!AP64+网约车!AP64</f>
        <v>905.888364203332</v>
      </c>
      <c r="AQ33" s="245">
        <f t="shared" si="19"/>
        <v>-0.459138829290965</v>
      </c>
      <c r="AR33" s="94">
        <f>公交!AR64+出租!AR64+网约车!AR64</f>
        <v>1052.34050982941</v>
      </c>
      <c r="AS33" s="245">
        <f t="shared" si="20"/>
        <v>-0.397664084267061</v>
      </c>
      <c r="AT33" s="94">
        <f t="shared" si="23"/>
        <v>14616.012856693</v>
      </c>
      <c r="AU33" s="245">
        <f t="shared" si="21"/>
        <v>-0.365147678099188</v>
      </c>
      <c r="AV33" s="280"/>
      <c r="AW33" s="94">
        <f>公交!AW64+出租!AW64+网约车!AW64</f>
        <v>2059.27541400176</v>
      </c>
      <c r="AX33" s="281"/>
      <c r="AY33" s="94">
        <f>公交!AY64+出租!AY64+网约车!AY64</f>
        <v>2036.19727449484</v>
      </c>
      <c r="AZ33" s="281"/>
      <c r="BA33" s="94">
        <f>公交!BA64+出租!BA64+网约车!BA64</f>
        <v>1885.81526970508</v>
      </c>
      <c r="BB33" s="281"/>
      <c r="BC33" s="94">
        <f>公交!BC64+出租!BC64+网约车!BC64</f>
        <v>1843.86073638302</v>
      </c>
      <c r="BD33" s="281"/>
      <c r="BE33" s="94">
        <f>公交!BE64+出租!BE64+网约车!BE64</f>
        <v>1808.7138937004</v>
      </c>
      <c r="BF33" s="281"/>
      <c r="BG33" s="94">
        <f>公交!BG64+出租!BG64+网约车!BG64</f>
        <v>2036.67238794777</v>
      </c>
      <c r="BH33" s="281"/>
      <c r="BI33" s="94">
        <f>公交!BI64+出租!BI64+网约车!BI64</f>
        <v>2035.70242710634</v>
      </c>
      <c r="BJ33" s="281"/>
      <c r="BK33" s="94">
        <f>公交!BK64+出租!BK64+网约车!BK64</f>
        <v>2133.84983550521</v>
      </c>
      <c r="BL33" s="281"/>
      <c r="BM33" s="94">
        <f>公交!BM64+出租!BM64+网约车!BM64</f>
        <v>1908.40545652327</v>
      </c>
      <c r="BN33" s="281"/>
      <c r="BO33" s="94">
        <f>公交!BO64+出租!BO64+网约车!BO64</f>
        <v>1852.20559867569</v>
      </c>
      <c r="BP33" s="281"/>
      <c r="BQ33" s="94">
        <f>公交!BQ64+出租!BQ64+网约车!BQ64</f>
        <v>1674.89998036977</v>
      </c>
      <c r="BR33" s="281"/>
      <c r="BS33" s="94">
        <f>公交!BS64+出租!BS64+网约车!BS64</f>
        <v>1747.09905609546</v>
      </c>
      <c r="BT33" s="281"/>
      <c r="BU33" s="282">
        <f t="shared" si="22"/>
        <v>23022.6973305086</v>
      </c>
    </row>
    <row r="34" s="256" customFormat="1" ht="31.2" customHeight="1" spans="1:73">
      <c r="A34" s="283" t="s">
        <v>108</v>
      </c>
      <c r="B34" s="277" t="s">
        <v>193</v>
      </c>
      <c r="C34" s="94">
        <f>公交!C67+出租!C67+网约车!C67</f>
        <v>201.530566733252</v>
      </c>
      <c r="D34" s="245">
        <f t="shared" si="0"/>
        <v>0.0986747096465193</v>
      </c>
      <c r="E34" s="94">
        <f>公交!E67+出租!E67+网约车!E67</f>
        <v>196.998975986639</v>
      </c>
      <c r="F34" s="245">
        <f t="shared" si="1"/>
        <v>0.136646907070834</v>
      </c>
      <c r="G34" s="94">
        <f>公交!G67+出租!G67+网约车!G67</f>
        <v>181.369736093158</v>
      </c>
      <c r="H34" s="245">
        <f t="shared" si="2"/>
        <v>0.0874931356479638</v>
      </c>
      <c r="I34" s="94">
        <f>公交!I67+出租!I67+网约车!I67</f>
        <v>177.385827610412</v>
      </c>
      <c r="J34" s="245">
        <f t="shared" si="3"/>
        <v>0.185305853997266</v>
      </c>
      <c r="K34" s="94">
        <f>公交!K67+出租!K67+网约车!K67</f>
        <v>196.864099571316</v>
      </c>
      <c r="L34" s="245">
        <f t="shared" si="4"/>
        <v>0.0956300866967348</v>
      </c>
      <c r="M34" s="94">
        <f>公交!M67+出租!M67+网约车!M67</f>
        <v>183.717048505349</v>
      </c>
      <c r="N34" s="245">
        <f t="shared" si="5"/>
        <v>0.0919937617531994</v>
      </c>
      <c r="O34" s="94">
        <f>公交!O67+出租!O67+网约车!O67</f>
        <v>190.998942925756</v>
      </c>
      <c r="P34" s="245">
        <f t="shared" si="6"/>
        <v>0.0611520409713702</v>
      </c>
      <c r="Q34" s="175"/>
      <c r="R34" s="127"/>
      <c r="S34" s="278">
        <f t="shared" si="7"/>
        <v>1328.86519742588</v>
      </c>
      <c r="T34" s="279">
        <f t="shared" si="8"/>
        <v>-0.0344862723968357</v>
      </c>
      <c r="U34" s="94"/>
      <c r="V34" s="94">
        <f>公交!V67+出租!V67+网约车!V67</f>
        <v>183.430605040587</v>
      </c>
      <c r="W34" s="245">
        <f t="shared" si="9"/>
        <v>-0.00389232006111617</v>
      </c>
      <c r="X34" s="94">
        <f>公交!X67+出租!X67+网约车!X67</f>
        <v>173.315894990037</v>
      </c>
      <c r="Y34" s="245">
        <f t="shared" si="10"/>
        <v>-0.075083150975182</v>
      </c>
      <c r="Z34" s="94">
        <f>公交!Z67+出租!Z67+网约车!Z67</f>
        <v>166.777821530885</v>
      </c>
      <c r="AA34" s="245">
        <f t="shared" si="11"/>
        <v>0.0685705782695367</v>
      </c>
      <c r="AB34" s="94">
        <f>公交!AB67+出租!AB67+网约车!AB67</f>
        <v>149.654055121895</v>
      </c>
      <c r="AC34" s="245">
        <f t="shared" si="12"/>
        <v>-0.0402159728990571</v>
      </c>
      <c r="AD34" s="94">
        <f>公交!AD67+出租!AD67+网约车!AD67</f>
        <v>179.681173382935</v>
      </c>
      <c r="AE34" s="245">
        <f t="shared" si="13"/>
        <v>-0.0718183703791798</v>
      </c>
      <c r="AF34" s="94">
        <f>公交!AF67+出租!AF67+网约车!AF67</f>
        <v>168.240016509244</v>
      </c>
      <c r="AG34" s="245">
        <f t="shared" si="14"/>
        <v>-0.180851469671989</v>
      </c>
      <c r="AH34" s="94">
        <f>公交!AH67+出租!AH67+网约车!AH67</f>
        <v>179.992061034832</v>
      </c>
      <c r="AI34" s="245">
        <f t="shared" si="15"/>
        <v>-0.117665181771945</v>
      </c>
      <c r="AJ34" s="94">
        <f>公交!AJ67+出租!AJ67+网约车!AJ67</f>
        <v>175.238049984867</v>
      </c>
      <c r="AK34" s="245">
        <f t="shared" si="16"/>
        <v>-0.157607915231566</v>
      </c>
      <c r="AL34" s="94">
        <f>公交!AL67+出租!AL67+网约车!AL67</f>
        <v>167.924517813719</v>
      </c>
      <c r="AM34" s="245">
        <f t="shared" si="17"/>
        <v>-0.0834874528071656</v>
      </c>
      <c r="AN34" s="94">
        <f>公交!AN67+出租!AN67+网约车!AN67</f>
        <v>184.328251401899</v>
      </c>
      <c r="AO34" s="245">
        <f t="shared" si="18"/>
        <v>-0.113365558642467</v>
      </c>
      <c r="AP34" s="94">
        <f>公交!AP67+出租!AP67+网约车!AP67</f>
        <v>174.603954853122</v>
      </c>
      <c r="AQ34" s="245">
        <f t="shared" si="19"/>
        <v>-0.030127327874986</v>
      </c>
      <c r="AR34" s="94">
        <f>公交!AR67+出租!AR67+网约车!AR67</f>
        <v>184.513090789387</v>
      </c>
      <c r="AS34" s="245">
        <f t="shared" si="20"/>
        <v>0.00420963977902211</v>
      </c>
      <c r="AT34" s="94">
        <f t="shared" si="23"/>
        <v>2087.69949245341</v>
      </c>
      <c r="AU34" s="245">
        <f t="shared" si="21"/>
        <v>-0.0718884419932723</v>
      </c>
      <c r="AV34" s="280"/>
      <c r="AW34" s="94">
        <f>公交!AW67+出租!AW67+网约车!AW67</f>
        <v>184.147365525624</v>
      </c>
      <c r="AX34" s="281"/>
      <c r="AY34" s="94">
        <f>公交!AY67+出租!AY67+网约车!AY67</f>
        <v>187.385379748214</v>
      </c>
      <c r="AZ34" s="281"/>
      <c r="BA34" s="94">
        <f>公交!BA67+出租!BA67+网约车!BA67</f>
        <v>156.075625627806</v>
      </c>
      <c r="BB34" s="281"/>
      <c r="BC34" s="94">
        <f>公交!BC67+出租!BC67+网约车!BC67</f>
        <v>155.924719412064</v>
      </c>
      <c r="BD34" s="281"/>
      <c r="BE34" s="94">
        <f>公交!BE67+出租!BE67+网约车!BE67</f>
        <v>193.584065498407</v>
      </c>
      <c r="BF34" s="281"/>
      <c r="BG34" s="94">
        <f>公交!BG67+出租!BG67+网约车!BG67</f>
        <v>205.384018014261</v>
      </c>
      <c r="BH34" s="281"/>
      <c r="BI34" s="94">
        <f>公交!BI67+出租!BI67+网约车!BI67</f>
        <v>203.995192433073</v>
      </c>
      <c r="BJ34" s="281"/>
      <c r="BK34" s="94">
        <f>公交!BK67+出租!BK67+网约车!BK67</f>
        <v>208.024331132027</v>
      </c>
      <c r="BL34" s="281"/>
      <c r="BM34" s="94">
        <f>公交!BM67+出租!BM67+网约车!BM67</f>
        <v>183.221188109264</v>
      </c>
      <c r="BN34" s="281"/>
      <c r="BO34" s="94">
        <f>公交!BO67+出租!BO67+网约车!BO67</f>
        <v>207.896561202464</v>
      </c>
      <c r="BP34" s="281"/>
      <c r="BQ34" s="94">
        <f>公交!BQ67+出租!BQ67+网约车!BQ67</f>
        <v>180.027708658457</v>
      </c>
      <c r="BR34" s="281"/>
      <c r="BS34" s="94">
        <f>公交!BS67+出租!BS67+网约车!BS67</f>
        <v>183.739613204659</v>
      </c>
      <c r="BT34" s="281"/>
      <c r="BU34" s="282">
        <f t="shared" si="22"/>
        <v>2249.40576856632</v>
      </c>
    </row>
    <row r="35" s="256" customFormat="1" ht="31.2" customHeight="1" spans="1:73">
      <c r="A35" s="29"/>
      <c r="B35" s="277" t="s">
        <v>194</v>
      </c>
      <c r="C35" s="94">
        <f>公交!C68+出租!C68+网约车!C68</f>
        <v>574.856384736681</v>
      </c>
      <c r="D35" s="245">
        <f t="shared" si="0"/>
        <v>0.00652075713363875</v>
      </c>
      <c r="E35" s="94">
        <f>公交!E68+出租!E68+网约车!E68</f>
        <v>561.01802745075</v>
      </c>
      <c r="F35" s="245">
        <f t="shared" si="1"/>
        <v>0.043635659792203</v>
      </c>
      <c r="G35" s="94">
        <f>公交!G68+出租!G68+网约车!G68</f>
        <v>513.539848320529</v>
      </c>
      <c r="H35" s="245">
        <f t="shared" si="2"/>
        <v>0.0232626863108873</v>
      </c>
      <c r="I35" s="94">
        <f>公交!I68+出租!I68+网约车!I68</f>
        <v>502.584224819326</v>
      </c>
      <c r="J35" s="245">
        <f t="shared" si="3"/>
        <v>0.123990361210273</v>
      </c>
      <c r="K35" s="94">
        <f>公交!K68+出租!K68+网约车!K68</f>
        <v>558.429212833563</v>
      </c>
      <c r="L35" s="245">
        <f t="shared" si="4"/>
        <v>0.0505526536173275</v>
      </c>
      <c r="M35" s="94">
        <f>公交!M68+出租!M68+网约车!M68</f>
        <v>528.570063536412</v>
      </c>
      <c r="N35" s="245">
        <f t="shared" si="5"/>
        <v>0.0269512031160228</v>
      </c>
      <c r="O35" s="94">
        <f>公交!O68+出租!O68+网约车!O68</f>
        <v>554.230591785527</v>
      </c>
      <c r="P35" s="245">
        <f t="shared" si="6"/>
        <v>-0.00677050547289748</v>
      </c>
      <c r="Q35" s="175"/>
      <c r="R35" s="127"/>
      <c r="S35" s="278">
        <f t="shared" si="7"/>
        <v>3793.22835348279</v>
      </c>
      <c r="T35" s="279">
        <f t="shared" si="8"/>
        <v>-0.087811494958288</v>
      </c>
      <c r="U35" s="94"/>
      <c r="V35" s="94">
        <f>公交!V68+出租!V68+网约车!V68</f>
        <v>571.132170561243</v>
      </c>
      <c r="W35" s="245">
        <f t="shared" si="9"/>
        <v>0.0417281209991456</v>
      </c>
      <c r="X35" s="94">
        <f>公交!X68+出租!X68+网约车!X68</f>
        <v>537.561190236115</v>
      </c>
      <c r="Y35" s="245">
        <f t="shared" si="10"/>
        <v>-0.0675625263723423</v>
      </c>
      <c r="Z35" s="94">
        <f>公交!Z68+出租!Z68+网约车!Z68</f>
        <v>501.865117521255</v>
      </c>
      <c r="AA35" s="245">
        <f t="shared" si="11"/>
        <v>0.0866126607634261</v>
      </c>
      <c r="AB35" s="94">
        <f>公交!AB68+出租!AB68+网约车!AB68</f>
        <v>447.142824497321</v>
      </c>
      <c r="AC35" s="245">
        <f t="shared" si="12"/>
        <v>-0.0165977373507353</v>
      </c>
      <c r="AD35" s="94">
        <f>公交!AD68+出租!AD68+网约车!AD68</f>
        <v>531.557567258286</v>
      </c>
      <c r="AE35" s="245">
        <f t="shared" si="13"/>
        <v>-0.0584968721730268</v>
      </c>
      <c r="AF35" s="94">
        <f>公交!AF68+出租!AF68+网约车!AF68</f>
        <v>514.698324450665</v>
      </c>
      <c r="AG35" s="245">
        <f t="shared" si="14"/>
        <v>-0.14432609526533</v>
      </c>
      <c r="AH35" s="94">
        <f>公交!AH68+出租!AH68+网约车!AH68</f>
        <v>558.008592011666</v>
      </c>
      <c r="AI35" s="245">
        <f t="shared" si="15"/>
        <v>-0.119843818181406</v>
      </c>
      <c r="AJ35" s="94">
        <f>公交!AJ68+出租!AJ68+网约车!AJ68</f>
        <v>496.416315975618</v>
      </c>
      <c r="AK35" s="245">
        <f t="shared" si="16"/>
        <v>-0.201544768509142</v>
      </c>
      <c r="AL35" s="94">
        <f>公交!AL68+出租!AL68+网约车!AL68</f>
        <v>477.989031853955</v>
      </c>
      <c r="AM35" s="245">
        <f t="shared" si="17"/>
        <v>-0.157901477461103</v>
      </c>
      <c r="AN35" s="94">
        <f>公交!AN68+出租!AN68+网约车!AN68</f>
        <v>529.595177462281</v>
      </c>
      <c r="AO35" s="245">
        <f t="shared" si="18"/>
        <v>-0.179948512182227</v>
      </c>
      <c r="AP35" s="94">
        <f>公交!AP68+出租!AP68+网约车!AP68</f>
        <v>484.905146529469</v>
      </c>
      <c r="AQ35" s="245">
        <f t="shared" si="19"/>
        <v>-0.13285687911962</v>
      </c>
      <c r="AR35" s="94">
        <f>公交!AR68+出租!AR68+网约车!AR68</f>
        <v>502.99033087937</v>
      </c>
      <c r="AS35" s="245">
        <f t="shared" si="20"/>
        <v>-0.121940063499016</v>
      </c>
      <c r="AT35" s="94">
        <f t="shared" si="23"/>
        <v>6153.86178923725</v>
      </c>
      <c r="AU35" s="245">
        <f t="shared" si="21"/>
        <v>-0.0961618639105618</v>
      </c>
      <c r="AV35" s="280"/>
      <c r="AW35" s="94">
        <f>公交!AW68+出租!AW68+网约车!AW68</f>
        <v>548.25453882675</v>
      </c>
      <c r="AX35" s="281"/>
      <c r="AY35" s="94">
        <f>公交!AY68+出租!AY68+网约车!AY68</f>
        <v>576.511782763007</v>
      </c>
      <c r="AZ35" s="281"/>
      <c r="BA35" s="94">
        <f>公交!BA68+出租!BA68+网约车!BA68</f>
        <v>461.862019138133</v>
      </c>
      <c r="BB35" s="281"/>
      <c r="BC35" s="94">
        <f>公交!BC68+出租!BC68+网约车!BC68</f>
        <v>454.689643780896</v>
      </c>
      <c r="BD35" s="281"/>
      <c r="BE35" s="94">
        <f>公交!BE68+出租!BE68+网约车!BE68</f>
        <v>564.583963183576</v>
      </c>
      <c r="BF35" s="281"/>
      <c r="BG35" s="94">
        <f>公交!BG68+出租!BG68+网约车!BG68</f>
        <v>601.512236849462</v>
      </c>
      <c r="BH35" s="281"/>
      <c r="BI35" s="94">
        <f>公交!BI68+出租!BI68+网约车!BI68</f>
        <v>633.988152942014</v>
      </c>
      <c r="BJ35" s="281"/>
      <c r="BK35" s="94">
        <f>公交!BK68+出租!BK68+网约车!BK68</f>
        <v>621.720913580491</v>
      </c>
      <c r="BL35" s="281"/>
      <c r="BM35" s="94">
        <f>公交!BM68+出租!BM68+网约车!BM68</f>
        <v>567.616518804516</v>
      </c>
      <c r="BN35" s="281"/>
      <c r="BO35" s="94">
        <f>公交!BO68+出租!BO68+网约车!BO68</f>
        <v>645.807227143236</v>
      </c>
      <c r="BP35" s="281"/>
      <c r="BQ35" s="94">
        <f>公交!BQ68+出租!BQ68+网约车!BQ68</f>
        <v>559.198516200143</v>
      </c>
      <c r="BR35" s="281"/>
      <c r="BS35" s="94">
        <f>公交!BS68+出租!BS68+网约车!BS68</f>
        <v>572.842820825827</v>
      </c>
      <c r="BT35" s="281"/>
      <c r="BU35" s="282">
        <f t="shared" si="22"/>
        <v>6808.58833403805</v>
      </c>
    </row>
    <row r="36" s="256" customFormat="1" ht="31.2" customHeight="1" spans="1:73">
      <c r="A36" s="283" t="s">
        <v>111</v>
      </c>
      <c r="B36" s="277" t="s">
        <v>193</v>
      </c>
      <c r="C36" s="94">
        <f>公交!C71+出租!C71+网约车!C71</f>
        <v>176.709881864425</v>
      </c>
      <c r="D36" s="245">
        <f t="shared" si="0"/>
        <v>0.0898228833164605</v>
      </c>
      <c r="E36" s="94">
        <f>公交!E71+出租!E71+网约车!E71</f>
        <v>174.78638651062</v>
      </c>
      <c r="F36" s="245">
        <f t="shared" si="1"/>
        <v>0.314127441810482</v>
      </c>
      <c r="G36" s="94">
        <f>公交!G71+出租!G71+网约车!G71</f>
        <v>165.883056753178</v>
      </c>
      <c r="H36" s="245">
        <f t="shared" si="2"/>
        <v>0.248635622683789</v>
      </c>
      <c r="I36" s="94">
        <f>公交!I71+出租!I71+网约车!I71</f>
        <v>163.545175603925</v>
      </c>
      <c r="J36" s="245">
        <f t="shared" si="3"/>
        <v>0.290821982955182</v>
      </c>
      <c r="K36" s="94">
        <f>公交!K71+出租!K71+网约车!K71</f>
        <v>169.546103999564</v>
      </c>
      <c r="L36" s="245">
        <f t="shared" si="4"/>
        <v>0.27403580989288</v>
      </c>
      <c r="M36" s="94">
        <f>公交!M71+出租!M71+网约车!M71</f>
        <v>155.455113895736</v>
      </c>
      <c r="N36" s="245">
        <f t="shared" si="5"/>
        <v>0.230150531509816</v>
      </c>
      <c r="O36" s="94">
        <f>公交!O71+出租!O71+网约车!O71</f>
        <v>153.827740628603</v>
      </c>
      <c r="P36" s="245">
        <f t="shared" si="6"/>
        <v>0.217473354763697</v>
      </c>
      <c r="Q36" s="175"/>
      <c r="R36" s="127"/>
      <c r="S36" s="278">
        <f t="shared" si="7"/>
        <v>1159.75345925605</v>
      </c>
      <c r="T36" s="279">
        <f t="shared" si="8"/>
        <v>0.0901925041892573</v>
      </c>
      <c r="U36" s="94"/>
      <c r="V36" s="94">
        <f>公交!V71+出租!V71+网约车!V71</f>
        <v>162.145505081225</v>
      </c>
      <c r="W36" s="245">
        <f t="shared" si="9"/>
        <v>-0.0830849415840057</v>
      </c>
      <c r="X36" s="94">
        <f>公交!X71+出租!X71+网约车!X71</f>
        <v>133.005659078099</v>
      </c>
      <c r="Y36" s="245">
        <f t="shared" si="10"/>
        <v>-0.252797556447882</v>
      </c>
      <c r="Z36" s="94">
        <f>公交!Z71+出租!Z71+网约车!Z71</f>
        <v>132.851453009672</v>
      </c>
      <c r="AA36" s="245">
        <f t="shared" si="11"/>
        <v>-0.233813971260079</v>
      </c>
      <c r="AB36" s="94">
        <f>公交!AB71+出租!AB71+网约车!AB71</f>
        <v>126.698474122286</v>
      </c>
      <c r="AC36" s="245">
        <f t="shared" si="12"/>
        <v>-0.230691220377568</v>
      </c>
      <c r="AD36" s="94">
        <f>公交!AD71+出租!AD71+网约车!AD71</f>
        <v>133.077973698259</v>
      </c>
      <c r="AE36" s="245">
        <f t="shared" si="13"/>
        <v>-0.218597544993555</v>
      </c>
      <c r="AF36" s="94">
        <f>公交!AF71+出租!AF71+网约车!AF71</f>
        <v>126.370805778492</v>
      </c>
      <c r="AG36" s="245">
        <f t="shared" si="14"/>
        <v>-0.366238481937158</v>
      </c>
      <c r="AH36" s="94">
        <f>公交!AH71+出租!AH71+网约车!AH71</f>
        <v>126.349985424084</v>
      </c>
      <c r="AI36" s="245">
        <f t="shared" si="15"/>
        <v>-0.278095384812017</v>
      </c>
      <c r="AJ36" s="94">
        <f>公交!AJ71+出租!AJ71+网约车!AJ71</f>
        <v>123.306265019956</v>
      </c>
      <c r="AK36" s="245">
        <f t="shared" si="16"/>
        <v>-0.38779989610395</v>
      </c>
      <c r="AL36" s="94">
        <f>公交!AL71+出租!AL71+网约车!AL71</f>
        <v>121.075145503345</v>
      </c>
      <c r="AM36" s="245">
        <f t="shared" si="17"/>
        <v>-0.288406970183201</v>
      </c>
      <c r="AN36" s="94">
        <f>公交!AN71+出租!AN71+网约车!AN71</f>
        <v>140.015914280462</v>
      </c>
      <c r="AO36" s="245">
        <f t="shared" si="18"/>
        <v>-0.218737584851473</v>
      </c>
      <c r="AP36" s="94">
        <f>公交!AP71+出租!AP71+网约车!AP71</f>
        <v>143.432585123008</v>
      </c>
      <c r="AQ36" s="245">
        <f t="shared" si="19"/>
        <v>-0.15076045533671</v>
      </c>
      <c r="AR36" s="94">
        <f>公交!AR71+出租!AR71+网约车!AR71</f>
        <v>157.493987696202</v>
      </c>
      <c r="AS36" s="245">
        <f t="shared" si="20"/>
        <v>-0.0698570689498743</v>
      </c>
      <c r="AT36" s="94">
        <f t="shared" si="23"/>
        <v>1625.82375381509</v>
      </c>
      <c r="AU36" s="245">
        <f t="shared" si="21"/>
        <v>-0.235500782984212</v>
      </c>
      <c r="AV36" s="280"/>
      <c r="AW36" s="94">
        <f>公交!AW71+出租!AW71+网约车!AW71</f>
        <v>176.838087228426</v>
      </c>
      <c r="AX36" s="281"/>
      <c r="AY36" s="94">
        <f>公交!AY71+出租!AY71+网约车!AY71</f>
        <v>178.004850259596</v>
      </c>
      <c r="AZ36" s="281"/>
      <c r="BA36" s="94">
        <f>公交!BA71+出租!BA71+网约车!BA71</f>
        <v>173.393207427916</v>
      </c>
      <c r="BB36" s="281"/>
      <c r="BC36" s="94">
        <f>公交!BC71+出租!BC71+网约车!BC71</f>
        <v>164.691314434847</v>
      </c>
      <c r="BD36" s="281"/>
      <c r="BE36" s="94">
        <f>公交!BE71+出租!BE71+网约车!BE71</f>
        <v>170.306572299112</v>
      </c>
      <c r="BF36" s="281"/>
      <c r="BG36" s="94">
        <f>公交!BG71+出租!BG71+网约车!BG71</f>
        <v>199.398041971305</v>
      </c>
      <c r="BH36" s="281"/>
      <c r="BI36" s="94">
        <f>公交!BI71+出租!BI71+网约车!BI71</f>
        <v>175.02310245126</v>
      </c>
      <c r="BJ36" s="281"/>
      <c r="BK36" s="94">
        <f>公交!BK71+出租!BK71+网约车!BK71</f>
        <v>201.414969117505</v>
      </c>
      <c r="BL36" s="281"/>
      <c r="BM36" s="94">
        <f>公交!BM71+出租!BM71+网约车!BM71</f>
        <v>170.146615312569</v>
      </c>
      <c r="BN36" s="281"/>
      <c r="BO36" s="94">
        <f>公交!BO71+出租!BO71+网约车!BO71</f>
        <v>179.217522263429</v>
      </c>
      <c r="BP36" s="281"/>
      <c r="BQ36" s="94">
        <f>公交!BQ71+出租!BQ71+网约车!BQ71</f>
        <v>168.895320553964</v>
      </c>
      <c r="BR36" s="281"/>
      <c r="BS36" s="94">
        <f>公交!BS71+出租!BS71+网约车!BS71</f>
        <v>169.322350833105</v>
      </c>
      <c r="BT36" s="281"/>
      <c r="BU36" s="282">
        <f t="shared" si="22"/>
        <v>2126.65195415303</v>
      </c>
    </row>
    <row r="37" s="256" customFormat="1" ht="31.2" customHeight="1" spans="1:73">
      <c r="A37" s="29"/>
      <c r="B37" s="277" t="s">
        <v>194</v>
      </c>
      <c r="C37" s="94">
        <f>公交!C72+出租!C72+网约车!C72</f>
        <v>562.656529806498</v>
      </c>
      <c r="D37" s="245">
        <f t="shared" si="0"/>
        <v>0.0232386155728144</v>
      </c>
      <c r="E37" s="94">
        <f>公交!E72+出租!E72+网约车!E72</f>
        <v>566.394541127931</v>
      </c>
      <c r="F37" s="245">
        <f t="shared" si="1"/>
        <v>0.267707055220832</v>
      </c>
      <c r="G37" s="94">
        <f>公交!G72+出租!G72+网约车!G72</f>
        <v>534.541967972244</v>
      </c>
      <c r="H37" s="245">
        <f t="shared" si="2"/>
        <v>0.216690976189728</v>
      </c>
      <c r="I37" s="94">
        <f>公交!I72+出租!I72+网约车!I72</f>
        <v>528.5781142592</v>
      </c>
      <c r="J37" s="245">
        <f t="shared" si="3"/>
        <v>0.247169040580398</v>
      </c>
      <c r="K37" s="94">
        <f>公交!K72+出租!K72+网约车!K72</f>
        <v>547.32934864363</v>
      </c>
      <c r="L37" s="245">
        <f t="shared" si="4"/>
        <v>0.235172160745108</v>
      </c>
      <c r="M37" s="94">
        <f>公交!M72+出租!M72+网约车!M72</f>
        <v>498.135798382252</v>
      </c>
      <c r="N37" s="245">
        <f t="shared" si="5"/>
        <v>0.194538527763289</v>
      </c>
      <c r="O37" s="94">
        <f>公交!O72+出租!O72+网约车!O72</f>
        <v>487.444902028657</v>
      </c>
      <c r="P37" s="245">
        <f t="shared" si="6"/>
        <v>0.176516356768132</v>
      </c>
      <c r="Q37" s="175"/>
      <c r="R37" s="127"/>
      <c r="S37" s="278">
        <f t="shared" si="7"/>
        <v>3725.08120222041</v>
      </c>
      <c r="T37" s="279">
        <f t="shared" si="8"/>
        <v>0.0527737345824093</v>
      </c>
      <c r="U37" s="94"/>
      <c r="V37" s="94">
        <f>公交!V72+出租!V72+网约车!V72</f>
        <v>549.878123482977</v>
      </c>
      <c r="W37" s="245">
        <f t="shared" si="9"/>
        <v>-0.0472632515094971</v>
      </c>
      <c r="X37" s="94">
        <f>公交!X72+出租!X72+网约车!X72</f>
        <v>446.786612723604</v>
      </c>
      <c r="Y37" s="245">
        <f t="shared" si="10"/>
        <v>-0.238630276303079</v>
      </c>
      <c r="Z37" s="94">
        <f>公交!Z72+出租!Z72+网约车!Z72</f>
        <v>439.34078449916</v>
      </c>
      <c r="AA37" s="245">
        <f t="shared" si="11"/>
        <v>-0.219712116306729</v>
      </c>
      <c r="AB37" s="94">
        <f>公交!AB72+出租!AB72+网约车!AB72</f>
        <v>423.822350507686</v>
      </c>
      <c r="AC37" s="245">
        <f t="shared" si="12"/>
        <v>-0.215106953203067</v>
      </c>
      <c r="AD37" s="94">
        <f>公交!AD72+出租!AD72+网约车!AD72</f>
        <v>443.119887282318</v>
      </c>
      <c r="AE37" s="245">
        <f t="shared" si="13"/>
        <v>-0.206548874846554</v>
      </c>
      <c r="AF37" s="94">
        <f>公交!AF72+出租!AF72+网约车!AF72</f>
        <v>417.011077336271</v>
      </c>
      <c r="AG37" s="245">
        <f t="shared" si="14"/>
        <v>-0.34200114299436</v>
      </c>
      <c r="AH37" s="94">
        <f>公交!AH72+出租!AH72+网约车!AH72</f>
        <v>414.312048637946</v>
      </c>
      <c r="AI37" s="245">
        <f t="shared" si="15"/>
        <v>-0.280175954419449</v>
      </c>
      <c r="AJ37" s="94">
        <f>公交!AJ72+出租!AJ72+网约车!AJ72</f>
        <v>404.078411162869</v>
      </c>
      <c r="AK37" s="245">
        <f t="shared" si="16"/>
        <v>-0.376736129032803</v>
      </c>
      <c r="AL37" s="94">
        <f>公交!AL72+出租!AL72+网约车!AL72</f>
        <v>397.574601956661</v>
      </c>
      <c r="AM37" s="245">
        <f t="shared" si="17"/>
        <v>-0.296030116556642</v>
      </c>
      <c r="AN37" s="94">
        <f>公交!AN72+出租!AN72+网约车!AN72</f>
        <v>460.788658287193</v>
      </c>
      <c r="AO37" s="245">
        <f t="shared" si="18"/>
        <v>-0.223896113287442</v>
      </c>
      <c r="AP37" s="94">
        <f>公交!AP72+出租!AP72+网约车!AP72</f>
        <v>468.954688895997</v>
      </c>
      <c r="AQ37" s="245">
        <f t="shared" si="19"/>
        <v>-0.164321485676567</v>
      </c>
      <c r="AR37" s="94">
        <f>公交!AR72+出租!AR72+网约车!AR72</f>
        <v>509.136752704882</v>
      </c>
      <c r="AS37" s="245">
        <f t="shared" si="20"/>
        <v>-0.0977445781675492</v>
      </c>
      <c r="AT37" s="94">
        <f t="shared" si="23"/>
        <v>5374.80399747756</v>
      </c>
      <c r="AU37" s="245">
        <f t="shared" si="21"/>
        <v>-0.228541655462394</v>
      </c>
      <c r="AV37" s="280"/>
      <c r="AW37" s="94">
        <f>公交!AW72+出租!AW72+网约车!AW72</f>
        <v>577.156412150778</v>
      </c>
      <c r="AX37" s="281"/>
      <c r="AY37" s="94">
        <f>公交!AY72+出租!AY72+网约车!AY72</f>
        <v>586.819515956294</v>
      </c>
      <c r="AZ37" s="281"/>
      <c r="BA37" s="94">
        <f>公交!BA72+出租!BA72+网约车!BA72</f>
        <v>563.049604742887</v>
      </c>
      <c r="BB37" s="281"/>
      <c r="BC37" s="94">
        <f>公交!BC72+出租!BC72+网约车!BC72</f>
        <v>539.974652899858</v>
      </c>
      <c r="BD37" s="281"/>
      <c r="BE37" s="94">
        <f>公交!BE72+出租!BE72+网约车!BE72</f>
        <v>558.471559538873</v>
      </c>
      <c r="BF37" s="281"/>
      <c r="BG37" s="94">
        <f>公交!BG72+出租!BG72+网约车!BG72</f>
        <v>633.756537562947</v>
      </c>
      <c r="BH37" s="281"/>
      <c r="BI37" s="94">
        <f>公交!BI72+出租!BI72+网约车!BI72</f>
        <v>575.574060329974</v>
      </c>
      <c r="BJ37" s="281"/>
      <c r="BK37" s="94">
        <f>公交!BK72+出租!BK72+网约车!BK72</f>
        <v>648.3263830708</v>
      </c>
      <c r="BL37" s="281"/>
      <c r="BM37" s="94">
        <f>公交!BM72+出租!BM72+网约车!BM72</f>
        <v>564.76081052216</v>
      </c>
      <c r="BN37" s="281"/>
      <c r="BO37" s="94">
        <f>公交!BO72+出租!BO72+网约车!BO72</f>
        <v>593.720333290708</v>
      </c>
      <c r="BP37" s="281"/>
      <c r="BQ37" s="94">
        <f>公交!BQ72+出租!BQ72+网约车!BQ72</f>
        <v>561.1663825959</v>
      </c>
      <c r="BR37" s="281"/>
      <c r="BS37" s="94">
        <f>公交!BS72+出租!BS72+网约车!BS72</f>
        <v>564.29337013109</v>
      </c>
      <c r="BT37" s="281"/>
      <c r="BU37" s="282">
        <f t="shared" si="22"/>
        <v>6967.06962279227</v>
      </c>
    </row>
    <row r="38" s="256" customFormat="1" ht="31.2" customHeight="1" spans="1:73">
      <c r="A38" s="283" t="s">
        <v>112</v>
      </c>
      <c r="B38" s="277" t="s">
        <v>193</v>
      </c>
      <c r="C38" s="94">
        <f>公交!C75+出租!C75+网约车!C75</f>
        <v>22.7602133223377</v>
      </c>
      <c r="D38" s="245">
        <f t="shared" si="0"/>
        <v>0.0543662049768607</v>
      </c>
      <c r="E38" s="94">
        <f>公交!E75+出租!E75+网约车!E75</f>
        <v>19.8885454360163</v>
      </c>
      <c r="F38" s="245">
        <f t="shared" si="1"/>
        <v>-0.0250507223183569</v>
      </c>
      <c r="G38" s="94">
        <f>公交!G75+出租!G75+网约车!G75</f>
        <v>22.9765340137929</v>
      </c>
      <c r="H38" s="245">
        <f t="shared" si="2"/>
        <v>0.00414874772996132</v>
      </c>
      <c r="I38" s="94">
        <f>公交!I75+出租!I75+网约车!I75</f>
        <v>22.7908595752208</v>
      </c>
      <c r="J38" s="245">
        <f t="shared" si="3"/>
        <v>-0.00771873226352382</v>
      </c>
      <c r="K38" s="94">
        <f>公交!K75+出租!K75+网约车!K75</f>
        <v>23.0552582050268</v>
      </c>
      <c r="L38" s="245">
        <f t="shared" si="4"/>
        <v>-0.0190089508820821</v>
      </c>
      <c r="M38" s="94">
        <f>公交!M75+出租!M75+网约车!M75</f>
        <v>23.4140367430582</v>
      </c>
      <c r="N38" s="245">
        <f t="shared" si="5"/>
        <v>0.00978394375365843</v>
      </c>
      <c r="O38" s="94">
        <f>公交!O75+出租!O75+网约车!O75</f>
        <v>23.8988553924558</v>
      </c>
      <c r="P38" s="245">
        <f t="shared" si="6"/>
        <v>0.0112909441467646</v>
      </c>
      <c r="Q38" s="175"/>
      <c r="R38" s="127"/>
      <c r="S38" s="278">
        <f t="shared" si="7"/>
        <v>158.784302687908</v>
      </c>
      <c r="T38" s="279">
        <f t="shared" si="8"/>
        <v>-0.121142177027317</v>
      </c>
      <c r="U38" s="94"/>
      <c r="V38" s="94">
        <f>公交!V75+出租!V75+网约车!V75</f>
        <v>21.5866301621809</v>
      </c>
      <c r="W38" s="245">
        <f t="shared" si="9"/>
        <v>-0.00581468110936179</v>
      </c>
      <c r="X38" s="94">
        <f>公交!X75+出租!X75+网约车!X75</f>
        <v>20.3995693840707</v>
      </c>
      <c r="Y38" s="245">
        <f t="shared" si="10"/>
        <v>-0.00689651110856249</v>
      </c>
      <c r="Z38" s="94">
        <f>公交!Z75+出租!Z75+网约车!Z75</f>
        <v>22.881604011094</v>
      </c>
      <c r="AA38" s="245">
        <f t="shared" si="11"/>
        <v>0.117980113724792</v>
      </c>
      <c r="AB38" s="94">
        <f>公交!AB75+出租!AB75+网约车!AB75</f>
        <v>22.9681445334645</v>
      </c>
      <c r="AC38" s="245">
        <f t="shared" si="12"/>
        <v>0.101800800944732</v>
      </c>
      <c r="AD38" s="94">
        <f>公交!AD75+出租!AD75+网约车!AD75</f>
        <v>23.5020066959403</v>
      </c>
      <c r="AE38" s="245">
        <f t="shared" si="13"/>
        <v>0.100452298301014</v>
      </c>
      <c r="AF38" s="94">
        <f>公交!AF75+出租!AF75+网约车!AF75</f>
        <v>23.1871747296966</v>
      </c>
      <c r="AG38" s="245">
        <f t="shared" si="14"/>
        <v>0.0736179506424821</v>
      </c>
      <c r="AH38" s="94">
        <f>公交!AH75+出租!AH75+网约车!AH75</f>
        <v>23.6320274899915</v>
      </c>
      <c r="AI38" s="245">
        <f t="shared" si="15"/>
        <v>0.0756449436455486</v>
      </c>
      <c r="AJ38" s="94">
        <f>公交!AJ75+出租!AJ75+网约车!AJ75</f>
        <v>22.5140488899034</v>
      </c>
      <c r="AK38" s="245">
        <f t="shared" si="16"/>
        <v>0.0456737613680895</v>
      </c>
      <c r="AL38" s="94">
        <f>公交!AL75+出租!AL75+网约车!AL75</f>
        <v>22.5777910677684</v>
      </c>
      <c r="AM38" s="245">
        <f t="shared" si="17"/>
        <v>0.0299595748457329</v>
      </c>
      <c r="AN38" s="94">
        <f>公交!AN75+出租!AN75+网约车!AN75</f>
        <v>22.5402330958133</v>
      </c>
      <c r="AO38" s="245">
        <f t="shared" si="18"/>
        <v>0.0382013488894366</v>
      </c>
      <c r="AP38" s="94">
        <f>公交!AP75+出租!AP75+网约车!AP75</f>
        <v>22.1597553308117</v>
      </c>
      <c r="AQ38" s="245">
        <f t="shared" si="19"/>
        <v>0.0349655714678812</v>
      </c>
      <c r="AR38" s="94">
        <f>公交!AR75+出租!AR75+网约车!AR75</f>
        <v>22.8106419945227</v>
      </c>
      <c r="AS38" s="245">
        <f t="shared" si="20"/>
        <v>0.0546256731554919</v>
      </c>
      <c r="AT38" s="94">
        <f t="shared" si="23"/>
        <v>270.759627385258</v>
      </c>
      <c r="AU38" s="245">
        <f t="shared" si="21"/>
        <v>0.054795953332347</v>
      </c>
      <c r="AV38" s="280"/>
      <c r="AW38" s="94">
        <f>公交!AW75+出租!AW75+网约车!AW75</f>
        <v>21.7128836566088</v>
      </c>
      <c r="AX38" s="281"/>
      <c r="AY38" s="94">
        <f>公交!AY75+出租!AY75+网约车!AY75</f>
        <v>20.5412322202613</v>
      </c>
      <c r="AZ38" s="281"/>
      <c r="BA38" s="94">
        <f>公交!BA75+出租!BA75+网约车!BA75</f>
        <v>20.466915046332</v>
      </c>
      <c r="BB38" s="281"/>
      <c r="BC38" s="94">
        <f>公交!BC75+出租!BC75+网约车!BC75</f>
        <v>20.8460045715801</v>
      </c>
      <c r="BD38" s="281"/>
      <c r="BE38" s="94">
        <f>公交!BE75+出租!BE75+网约车!BE75</f>
        <v>21.3566791874804</v>
      </c>
      <c r="BF38" s="281"/>
      <c r="BG38" s="94">
        <f>公交!BG75+出租!BG75+网约车!BG75</f>
        <v>21.5972308546264</v>
      </c>
      <c r="BH38" s="281"/>
      <c r="BI38" s="94">
        <f>公交!BI75+出租!BI75+网约车!BI75</f>
        <v>21.9701004774851</v>
      </c>
      <c r="BJ38" s="281"/>
      <c r="BK38" s="94">
        <f>公交!BK75+出租!BK75+网约车!BK75</f>
        <v>21.5306625466508</v>
      </c>
      <c r="BL38" s="281"/>
      <c r="BM38" s="94">
        <f>公交!BM75+出租!BM75+网约车!BM75</f>
        <v>21.9210458538143</v>
      </c>
      <c r="BN38" s="281"/>
      <c r="BO38" s="94">
        <f>公交!BO75+出租!BO75+网约车!BO75</f>
        <v>21.7108493645521</v>
      </c>
      <c r="BP38" s="281"/>
      <c r="BQ38" s="94">
        <f>公交!BQ75+出租!BQ75+网约车!BQ75</f>
        <v>21.4111038489742</v>
      </c>
      <c r="BR38" s="281"/>
      <c r="BS38" s="94">
        <f>公交!BS75+出租!BS75+网约车!BS75</f>
        <v>21.6291358869276</v>
      </c>
      <c r="BT38" s="281"/>
      <c r="BU38" s="282">
        <f t="shared" si="22"/>
        <v>256.693843515293</v>
      </c>
    </row>
    <row r="39" s="256" customFormat="1" ht="31.2" customHeight="1" spans="1:73">
      <c r="A39" s="29"/>
      <c r="B39" s="277" t="s">
        <v>194</v>
      </c>
      <c r="C39" s="94">
        <f>公交!C76+出租!C76+网约车!C76</f>
        <v>122.463418330873</v>
      </c>
      <c r="D39" s="245">
        <f t="shared" si="0"/>
        <v>0.142272941721008</v>
      </c>
      <c r="E39" s="94">
        <f>公交!E76+出租!E76+网约车!E76</f>
        <v>101.100489788221</v>
      </c>
      <c r="F39" s="245">
        <f t="shared" si="1"/>
        <v>0.0277602009032489</v>
      </c>
      <c r="G39" s="94">
        <f>公交!G76+出租!G76+网约车!G76</f>
        <v>123.873233276636</v>
      </c>
      <c r="H39" s="245">
        <f t="shared" si="2"/>
        <v>0.0638677937142451</v>
      </c>
      <c r="I39" s="94">
        <f>公交!I76+出租!I76+网约车!I76</f>
        <v>122.447655221798</v>
      </c>
      <c r="J39" s="245">
        <f t="shared" si="3"/>
        <v>0.0424227444612746</v>
      </c>
      <c r="K39" s="94">
        <f>公交!K76+出租!K76+网约车!K76</f>
        <v>123.821037004781</v>
      </c>
      <c r="L39" s="245">
        <f t="shared" si="4"/>
        <v>0.020603933298488</v>
      </c>
      <c r="M39" s="94">
        <f>公交!M76+出租!M76+网约车!M76</f>
        <v>126.160265354399</v>
      </c>
      <c r="N39" s="245">
        <f t="shared" si="5"/>
        <v>0.0605097099065415</v>
      </c>
      <c r="O39" s="94">
        <f>公交!O76+出租!O76+网约车!O76</f>
        <v>129.516225810878</v>
      </c>
      <c r="P39" s="245">
        <f t="shared" si="6"/>
        <v>0.0643796640659782</v>
      </c>
      <c r="Q39" s="175"/>
      <c r="R39" s="127"/>
      <c r="S39" s="278">
        <f t="shared" si="7"/>
        <v>849.382324787586</v>
      </c>
      <c r="T39" s="279">
        <f t="shared" si="8"/>
        <v>-0.0712303534231274</v>
      </c>
      <c r="U39" s="94"/>
      <c r="V39" s="94">
        <f>公交!V76+出租!V76+网约车!V76</f>
        <v>107.210294368317</v>
      </c>
      <c r="W39" s="245">
        <f t="shared" si="9"/>
        <v>-0.0247497088229416</v>
      </c>
      <c r="X39" s="94">
        <f>公交!X76+出租!X76+网约车!X76</f>
        <v>98.3697264200037</v>
      </c>
      <c r="Y39" s="245">
        <f t="shared" si="10"/>
        <v>-0.0267513439985193</v>
      </c>
      <c r="Z39" s="94">
        <f>公交!Z76+出租!Z76+网约车!Z76</f>
        <v>116.436679452587</v>
      </c>
      <c r="AA39" s="245">
        <f t="shared" si="11"/>
        <v>0.157226053025796</v>
      </c>
      <c r="AB39" s="94">
        <f>公交!AB76+出租!AB76+网约车!AB76</f>
        <v>117.464489212655</v>
      </c>
      <c r="AC39" s="245">
        <f t="shared" si="12"/>
        <v>0.13662272066493</v>
      </c>
      <c r="AD39" s="94">
        <f>公交!AD76+出租!AD76+网约车!AD76</f>
        <v>121.321340203544</v>
      </c>
      <c r="AE39" s="245">
        <f t="shared" si="13"/>
        <v>0.132502997815565</v>
      </c>
      <c r="AF39" s="94">
        <f>公交!AF76+出租!AF76+网约车!AF76</f>
        <v>118.961914422752</v>
      </c>
      <c r="AG39" s="245">
        <f t="shared" si="14"/>
        <v>0.0938377735347113</v>
      </c>
      <c r="AH39" s="94">
        <f>公交!AH76+出租!AH76+网约车!AH76</f>
        <v>121.682356572015</v>
      </c>
      <c r="AI39" s="245">
        <f t="shared" si="15"/>
        <v>0.0807993790539807</v>
      </c>
      <c r="AJ39" s="94">
        <f>公交!AJ76+出租!AJ76+网约车!AJ76</f>
        <v>113.077406634743</v>
      </c>
      <c r="AK39" s="245">
        <f t="shared" si="16"/>
        <v>0.0433498697419803</v>
      </c>
      <c r="AL39" s="94">
        <f>公交!AL76+出租!AL76+网约车!AL76</f>
        <v>113.877206651251</v>
      </c>
      <c r="AM39" s="245">
        <f t="shared" si="17"/>
        <v>0.0250858353060603</v>
      </c>
      <c r="AN39" s="94">
        <f>公交!AN76+出租!AN76+网约车!AN76</f>
        <v>113.498411875199</v>
      </c>
      <c r="AO39" s="245">
        <f t="shared" si="18"/>
        <v>0.0361073164824453</v>
      </c>
      <c r="AP39" s="94">
        <f>公交!AP76+出租!AP76+网约车!AP76</f>
        <v>111.400551617908</v>
      </c>
      <c r="AQ39" s="245">
        <f t="shared" si="19"/>
        <v>0.0366881444901206</v>
      </c>
      <c r="AR39" s="94">
        <f>公交!AR76+出租!AR76+网约车!AR76</f>
        <v>116.069015098377</v>
      </c>
      <c r="AS39" s="245">
        <f t="shared" si="20"/>
        <v>0.062312218890241</v>
      </c>
      <c r="AT39" s="94">
        <f t="shared" si="23"/>
        <v>1369.36939252935</v>
      </c>
      <c r="AU39" s="245">
        <f t="shared" si="21"/>
        <v>0.0622124674938993</v>
      </c>
      <c r="AV39" s="280"/>
      <c r="AW39" s="94">
        <f>公交!AW76+出租!AW76+网约车!AW76</f>
        <v>109.931055994786</v>
      </c>
      <c r="AX39" s="281"/>
      <c r="AY39" s="94">
        <f>公交!AY76+出租!AY76+网约车!AY76</f>
        <v>101.073580542252</v>
      </c>
      <c r="AZ39" s="281"/>
      <c r="BA39" s="94">
        <f>公交!BA76+出租!BA76+网约车!BA76</f>
        <v>100.617056752343</v>
      </c>
      <c r="BB39" s="281"/>
      <c r="BC39" s="94">
        <f>公交!BC76+出租!BC76+网约车!BC76</f>
        <v>103.345188405118</v>
      </c>
      <c r="BD39" s="281"/>
      <c r="BE39" s="94">
        <f>公交!BE76+出租!BE76+网约车!BE76</f>
        <v>107.126727644479</v>
      </c>
      <c r="BF39" s="281"/>
      <c r="BG39" s="94">
        <f>公交!BG76+出租!BG76+网约车!BG76</f>
        <v>108.756451185928</v>
      </c>
      <c r="BH39" s="281"/>
      <c r="BI39" s="94">
        <f>公交!BI76+出租!BI76+网约车!BI76</f>
        <v>112.585516729778</v>
      </c>
      <c r="BJ39" s="281"/>
      <c r="BK39" s="94">
        <f>公交!BK76+出租!BK76+网约车!BK76</f>
        <v>108.379183161931</v>
      </c>
      <c r="BL39" s="281"/>
      <c r="BM39" s="94">
        <f>公交!BM76+出租!BM76+网约车!BM76</f>
        <v>111.090410899347</v>
      </c>
      <c r="BN39" s="281"/>
      <c r="BO39" s="94">
        <f>公交!BO76+出租!BO76+网约车!BO76</f>
        <v>109.543104338383</v>
      </c>
      <c r="BP39" s="281"/>
      <c r="BQ39" s="94">
        <f>公交!BQ76+出租!BQ76+网约车!BQ76</f>
        <v>107.458112847137</v>
      </c>
      <c r="BR39" s="281"/>
      <c r="BS39" s="94">
        <f>公交!BS76+出租!BS76+网约车!BS76</f>
        <v>109.260736188868</v>
      </c>
      <c r="BT39" s="281"/>
      <c r="BU39" s="282">
        <f t="shared" si="22"/>
        <v>1289.16712469035</v>
      </c>
    </row>
    <row r="40" s="16" customFormat="1"/>
  </sheetData>
  <autoFilter xmlns:etc="http://www.wps.cn/officeDocument/2017/etCustomData" ref="A1:AS39" etc:filterBottomFollowUsedRange="0">
    <extLst/>
  </autoFilter>
  <mergeCells count="9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D6" sqref="D6"/>
    </sheetView>
  </sheetViews>
  <sheetFormatPr defaultColWidth="8.77777777777778" defaultRowHeight="14.4"/>
  <cols>
    <col min="1" max="1" width="24" style="16" customWidth="1"/>
    <col min="2" max="2" width="24.3333333333333" style="16" customWidth="1"/>
    <col min="3" max="3" width="11.1111111111111" style="16" customWidth="1"/>
    <col min="4" max="4" width="25.4444444444444" style="16" customWidth="1"/>
    <col min="5" max="5" width="11.1111111111111" style="16" customWidth="1"/>
    <col min="6" max="6" width="10.1111111111111" style="16" customWidth="1"/>
    <col min="7" max="7" width="24" style="16" customWidth="1"/>
    <col min="8" max="8" width="22" style="16" customWidth="1"/>
    <col min="9" max="9" width="11.1111111111111" style="16" customWidth="1"/>
    <col min="10" max="10" width="28" style="16" customWidth="1"/>
    <col min="11" max="11" width="11.1111111111111" style="16" customWidth="1"/>
    <col min="12" max="12" width="14.1111111111111" style="16" customWidth="1"/>
    <col min="13" max="13" width="24" style="16" customWidth="1"/>
    <col min="14" max="14" width="22" style="16" customWidth="1"/>
    <col min="15" max="15" width="12" style="16" customWidth="1"/>
    <col min="16" max="16" width="28" style="16" customWidth="1"/>
    <col min="17" max="17" width="7" style="16" customWidth="1"/>
  </cols>
  <sheetData>
    <row r="1" ht="40.95" customHeight="1" spans="1:17">
      <c r="A1" s="95" t="s">
        <v>227</v>
      </c>
      <c r="G1" s="95" t="s">
        <v>228</v>
      </c>
      <c r="M1" s="95" t="s">
        <v>229</v>
      </c>
    </row>
    <row r="2" s="232" customFormat="1" ht="46.05" customHeight="1" spans="1:17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  <c r="G2" s="82" t="s">
        <v>230</v>
      </c>
      <c r="H2" s="79" t="s">
        <v>231</v>
      </c>
      <c r="I2" s="82" t="s">
        <v>12</v>
      </c>
      <c r="J2" s="79" t="s">
        <v>232</v>
      </c>
      <c r="K2" s="82" t="s">
        <v>12</v>
      </c>
      <c r="M2" s="82" t="s">
        <v>230</v>
      </c>
      <c r="N2" s="79" t="s">
        <v>231</v>
      </c>
      <c r="O2" s="82" t="s">
        <v>12</v>
      </c>
      <c r="P2" s="79" t="s">
        <v>232</v>
      </c>
      <c r="Q2" s="82" t="s">
        <v>12</v>
      </c>
    </row>
    <row r="3" s="232" customFormat="1" ht="30" customHeight="1" spans="1:17">
      <c r="A3" s="96" t="s">
        <v>233</v>
      </c>
      <c r="B3" s="97">
        <v>237412.33</v>
      </c>
      <c r="C3" s="98">
        <v>-0.00441924319915066</v>
      </c>
      <c r="D3" s="97">
        <v>1479655.1</v>
      </c>
      <c r="E3" s="98">
        <v>0.00332824595148473</v>
      </c>
      <c r="G3" s="96" t="s">
        <v>233</v>
      </c>
      <c r="H3" s="97">
        <v>406134.84</v>
      </c>
      <c r="I3" s="98">
        <v>-0.0718166057807587</v>
      </c>
      <c r="J3" s="97">
        <v>2523638.75</v>
      </c>
      <c r="K3" s="98">
        <v>-0.0582211922473912</v>
      </c>
      <c r="M3" s="96" t="s">
        <v>233</v>
      </c>
      <c r="N3" s="97">
        <v>434582.04</v>
      </c>
      <c r="O3" s="98"/>
      <c r="P3" s="97">
        <f>P4+P5+P8+P9</f>
        <v>2664244.7</v>
      </c>
      <c r="Q3" s="98"/>
    </row>
    <row r="4" s="232" customFormat="1" ht="27" customHeight="1" spans="1:17">
      <c r="A4" s="96" t="s">
        <v>234</v>
      </c>
      <c r="B4" s="97">
        <v>88266.88</v>
      </c>
      <c r="C4" s="98">
        <v>-0.0498221058137506</v>
      </c>
      <c r="D4" s="97">
        <v>455112.93</v>
      </c>
      <c r="E4" s="98">
        <v>-0.0236527820921856</v>
      </c>
      <c r="G4" s="96" t="s">
        <v>234</v>
      </c>
      <c r="H4" s="97">
        <v>157305.77</v>
      </c>
      <c r="I4" s="98">
        <v>-0.102153029976829</v>
      </c>
      <c r="J4" s="97">
        <v>796652.14</v>
      </c>
      <c r="K4" s="98">
        <v>-0.100759611989284</v>
      </c>
      <c r="M4" s="96" t="s">
        <v>234</v>
      </c>
      <c r="N4" s="97">
        <v>175203.32</v>
      </c>
      <c r="O4" s="98"/>
      <c r="P4" s="97">
        <v>885916.77</v>
      </c>
      <c r="Q4" s="98"/>
    </row>
    <row r="5" s="232" customFormat="1" ht="34.05" customHeight="1" spans="1:17">
      <c r="A5" s="96" t="s">
        <v>235</v>
      </c>
      <c r="B5" s="101">
        <v>65023.55</v>
      </c>
      <c r="C5" s="102">
        <v>0.0659378183335886</v>
      </c>
      <c r="D5" s="101">
        <v>332115.83</v>
      </c>
      <c r="E5" s="98">
        <v>0.0463380261189563</v>
      </c>
      <c r="G5" s="96" t="s">
        <v>235</v>
      </c>
      <c r="H5" s="101">
        <v>103446.69</v>
      </c>
      <c r="I5" s="98">
        <v>-0.096434527490014</v>
      </c>
      <c r="J5" s="101">
        <v>534518.27</v>
      </c>
      <c r="K5" s="98">
        <v>-0.0945315232352549</v>
      </c>
      <c r="M5" s="96" t="s">
        <v>235</v>
      </c>
      <c r="N5" s="101">
        <f>N6+N7</f>
        <v>111510.42</v>
      </c>
      <c r="O5" s="102"/>
      <c r="P5" s="101">
        <f>SUM(P6:P7)</f>
        <v>574915.8</v>
      </c>
      <c r="Q5" s="98"/>
    </row>
    <row r="6" s="232" customFormat="1" ht="36" customHeight="1" spans="1:17">
      <c r="A6" s="96" t="s">
        <v>236</v>
      </c>
      <c r="B6" s="97">
        <v>38641.26</v>
      </c>
      <c r="C6" s="98">
        <v>-0.10021851123619</v>
      </c>
      <c r="D6" s="97">
        <v>197337.47</v>
      </c>
      <c r="E6" s="98">
        <v>-0.117090218841305</v>
      </c>
      <c r="G6" s="96" t="s">
        <v>236</v>
      </c>
      <c r="H6" s="97">
        <v>71065.37</v>
      </c>
      <c r="I6" s="98">
        <v>-0.0912891313298707</v>
      </c>
      <c r="J6" s="97">
        <v>367362.56</v>
      </c>
      <c r="K6" s="98">
        <v>-0.0886031531491301</v>
      </c>
      <c r="M6" s="96" t="s">
        <v>236</v>
      </c>
      <c r="N6" s="97">
        <v>78204.6</v>
      </c>
      <c r="O6" s="98"/>
      <c r="P6" s="97">
        <v>403076.4</v>
      </c>
      <c r="Q6" s="98"/>
    </row>
    <row r="7" s="232" customFormat="1" ht="30" customHeight="1" spans="1:17">
      <c r="A7" s="96" t="s">
        <v>237</v>
      </c>
      <c r="B7" s="97">
        <v>26382.29</v>
      </c>
      <c r="C7" s="98">
        <v>0.461128925958539</v>
      </c>
      <c r="D7" s="97">
        <v>134778.36</v>
      </c>
      <c r="E7" s="98">
        <v>0.435343882887805</v>
      </c>
      <c r="G7" s="96" t="s">
        <v>237</v>
      </c>
      <c r="H7" s="97">
        <v>32381.32</v>
      </c>
      <c r="I7" s="98">
        <v>-0.107525065038044</v>
      </c>
      <c r="J7" s="97">
        <v>167155.71</v>
      </c>
      <c r="K7" s="98">
        <v>-0.107293274289419</v>
      </c>
      <c r="M7" s="96" t="s">
        <v>237</v>
      </c>
      <c r="N7" s="97">
        <v>33305.82</v>
      </c>
      <c r="O7" s="98"/>
      <c r="P7" s="97">
        <v>171839.4</v>
      </c>
      <c r="Q7" s="98"/>
    </row>
    <row r="8" s="232" customFormat="1" ht="31.05" customHeight="1" spans="1:17">
      <c r="A8" s="96" t="s">
        <v>238</v>
      </c>
      <c r="B8" s="97">
        <v>83788</v>
      </c>
      <c r="C8" s="98">
        <v>-0.00515210292047485</v>
      </c>
      <c r="D8" s="97">
        <v>691291.09</v>
      </c>
      <c r="E8" s="98">
        <v>0.00184530022268969</v>
      </c>
      <c r="G8" s="96" t="s">
        <v>238</v>
      </c>
      <c r="H8" s="97">
        <v>144824.79</v>
      </c>
      <c r="I8" s="98">
        <v>-0.0165609809130047</v>
      </c>
      <c r="J8" s="97">
        <v>1190572.53</v>
      </c>
      <c r="K8" s="98">
        <v>-0.00897625526071066</v>
      </c>
      <c r="M8" s="96" t="s">
        <v>238</v>
      </c>
      <c r="N8" s="97">
        <v>147263.62</v>
      </c>
      <c r="O8" s="98"/>
      <c r="P8" s="97">
        <v>1201356.21</v>
      </c>
      <c r="Q8" s="98"/>
    </row>
    <row r="9" s="232" customFormat="1" ht="28.05" customHeight="1" spans="1:17">
      <c r="A9" s="90" t="s">
        <v>239</v>
      </c>
      <c r="B9" s="105">
        <v>333.9</v>
      </c>
      <c r="C9" s="98">
        <v>-0.0401862711279752</v>
      </c>
      <c r="D9" s="105">
        <v>1135.25</v>
      </c>
      <c r="E9" s="106">
        <v>-0.0402012174501183</v>
      </c>
      <c r="G9" s="90" t="s">
        <v>239</v>
      </c>
      <c r="H9" s="105">
        <v>557.59</v>
      </c>
      <c r="I9" s="98">
        <v>-0.0778759013031685</v>
      </c>
      <c r="J9" s="105">
        <v>1895.81</v>
      </c>
      <c r="K9" s="98">
        <v>-0.0778775438733025</v>
      </c>
      <c r="M9" s="90" t="s">
        <v>239</v>
      </c>
      <c r="N9" s="105">
        <v>604.68</v>
      </c>
      <c r="O9" s="98"/>
      <c r="P9" s="105">
        <v>2055.92</v>
      </c>
      <c r="Q9" s="106"/>
    </row>
    <row r="10" ht="24" customHeight="1"/>
    <row r="12" ht="40.95" customHeight="1" spans="1:17">
      <c r="A12" s="95" t="s">
        <v>240</v>
      </c>
      <c r="G12" s="95" t="s">
        <v>228</v>
      </c>
      <c r="M12" s="66"/>
    </row>
    <row r="13" s="232" customFormat="1" ht="46.05" customHeight="1" spans="1:17">
      <c r="A13" s="82" t="s">
        <v>230</v>
      </c>
      <c r="B13" s="79" t="s">
        <v>241</v>
      </c>
      <c r="C13" s="82" t="s">
        <v>12</v>
      </c>
      <c r="D13" s="79" t="s">
        <v>194</v>
      </c>
      <c r="E13" s="82" t="s">
        <v>12</v>
      </c>
      <c r="G13" s="82" t="s">
        <v>230</v>
      </c>
      <c r="H13" s="79" t="s">
        <v>231</v>
      </c>
      <c r="I13" s="82" t="s">
        <v>12</v>
      </c>
      <c r="J13" s="79" t="s">
        <v>232</v>
      </c>
      <c r="K13" s="82" t="s">
        <v>12</v>
      </c>
      <c r="M13" s="82"/>
      <c r="N13" s="79"/>
      <c r="O13" s="82"/>
      <c r="P13" s="79"/>
      <c r="Q13" s="82"/>
    </row>
    <row r="14" s="232" customFormat="1" ht="30" customHeight="1" spans="1:17">
      <c r="A14" s="96" t="s">
        <v>233</v>
      </c>
      <c r="B14" s="97">
        <v>33068.03</v>
      </c>
      <c r="C14" s="98">
        <v>0.0390093161359242</v>
      </c>
      <c r="D14" s="97">
        <v>206194.82</v>
      </c>
      <c r="E14" s="98">
        <v>0.0431576071144124</v>
      </c>
      <c r="G14" s="96" t="s">
        <v>233</v>
      </c>
      <c r="H14" s="97">
        <v>406134.84</v>
      </c>
      <c r="I14" s="98">
        <v>-0.0718166057807587</v>
      </c>
      <c r="J14" s="97">
        <v>2523638.75</v>
      </c>
      <c r="K14" s="98">
        <v>-0.0582211922473912</v>
      </c>
      <c r="L14" s="251">
        <f>H14/M14-1</f>
        <v>-0.0718166057807587</v>
      </c>
      <c r="M14" s="97">
        <f>M15+M16+M19+M20</f>
        <v>437558.83</v>
      </c>
      <c r="N14" s="97">
        <f>J14/O14-1</f>
        <v>-0.0582211922473912</v>
      </c>
      <c r="O14" s="98">
        <f>O15+O16+O19+O20</f>
        <v>2679651.24</v>
      </c>
      <c r="P14" s="252"/>
      <c r="Q14" s="98"/>
    </row>
    <row r="15" s="232" customFormat="1" ht="27" customHeight="1" spans="1:17">
      <c r="A15" s="96" t="s">
        <v>234</v>
      </c>
      <c r="B15" s="97">
        <v>11508.07</v>
      </c>
      <c r="C15" s="98">
        <v>-0.0054067928885464</v>
      </c>
      <c r="D15" s="97">
        <v>59265.28</v>
      </c>
      <c r="E15" s="98">
        <v>0.00847599093167162</v>
      </c>
      <c r="G15" s="96" t="s">
        <v>234</v>
      </c>
      <c r="H15" s="97">
        <v>157305.77</v>
      </c>
      <c r="I15" s="98">
        <v>-0.102153029976829</v>
      </c>
      <c r="J15" s="97">
        <v>796652.14</v>
      </c>
      <c r="K15" s="98">
        <v>-0.100759611989284</v>
      </c>
      <c r="L15" s="251">
        <f>H15/M15-1</f>
        <v>-0.102153029976829</v>
      </c>
      <c r="M15" s="97">
        <v>175203.32</v>
      </c>
      <c r="N15" s="97">
        <f>J15/O15-1</f>
        <v>-0.100759611989284</v>
      </c>
      <c r="O15" s="98">
        <v>885916.77</v>
      </c>
      <c r="P15" s="252"/>
      <c r="Q15" s="98"/>
    </row>
    <row r="16" s="232" customFormat="1" ht="34.05" customHeight="1" spans="1:17">
      <c r="A16" s="96" t="s">
        <v>235</v>
      </c>
      <c r="B16" s="101">
        <v>9782.08</v>
      </c>
      <c r="C16" s="102">
        <v>0.143760464702965</v>
      </c>
      <c r="D16" s="101">
        <v>50127.74</v>
      </c>
      <c r="E16" s="98">
        <v>0.137278132284137</v>
      </c>
      <c r="G16" s="96" t="s">
        <v>235</v>
      </c>
      <c r="H16" s="101">
        <v>103446.69</v>
      </c>
      <c r="I16" s="98">
        <v>-0.096434527490014</v>
      </c>
      <c r="J16" s="101">
        <v>534518.27</v>
      </c>
      <c r="K16" s="98">
        <v>-0.0945315232352549</v>
      </c>
      <c r="L16" s="251">
        <f>H16/M16-1</f>
        <v>-0.096434527490014</v>
      </c>
      <c r="M16" s="97">
        <f>M17+M18</f>
        <v>114487.21</v>
      </c>
      <c r="N16" s="101">
        <f>J16/O16-1</f>
        <v>-0.0945315232352549</v>
      </c>
      <c r="O16" s="102">
        <f>O17+O18</f>
        <v>590322.34</v>
      </c>
      <c r="P16" s="253"/>
      <c r="Q16" s="98"/>
    </row>
    <row r="17" s="232" customFormat="1" ht="36" customHeight="1" spans="1:17">
      <c r="A17" s="96" t="s">
        <v>236</v>
      </c>
      <c r="B17" s="97">
        <v>5351.24</v>
      </c>
      <c r="C17" s="98">
        <v>-0.0751623707687682</v>
      </c>
      <c r="D17" s="97">
        <v>27422.13</v>
      </c>
      <c r="E17" s="98">
        <v>-0.080404376023021</v>
      </c>
      <c r="G17" s="96" t="s">
        <v>236</v>
      </c>
      <c r="H17" s="97">
        <v>71065.37</v>
      </c>
      <c r="I17" s="98">
        <v>-0.0912891313298707</v>
      </c>
      <c r="J17" s="97">
        <v>367362.56</v>
      </c>
      <c r="K17" s="98">
        <v>-0.0886031531491301</v>
      </c>
      <c r="L17" s="251">
        <f>H17/M17-1</f>
        <v>-0.0912891313298707</v>
      </c>
      <c r="M17" s="97">
        <v>78204.6</v>
      </c>
      <c r="N17" s="97">
        <f>J17/O17-1</f>
        <v>-0.0886031531491301</v>
      </c>
      <c r="O17" s="98">
        <v>403076.4</v>
      </c>
      <c r="P17" s="252"/>
      <c r="Q17" s="98"/>
    </row>
    <row r="18" s="232" customFormat="1" ht="30" customHeight="1" spans="1:17">
      <c r="A18" s="96" t="s">
        <v>237</v>
      </c>
      <c r="B18" s="97">
        <v>4430.84</v>
      </c>
      <c r="C18" s="98">
        <v>0.601651231555581</v>
      </c>
      <c r="D18" s="97">
        <v>22705.61</v>
      </c>
      <c r="E18" s="98">
        <v>0.592574823755344</v>
      </c>
      <c r="G18" s="96" t="s">
        <v>237</v>
      </c>
      <c r="H18" s="97">
        <v>32381.32</v>
      </c>
      <c r="I18" s="98">
        <v>-0.107525065038044</v>
      </c>
      <c r="J18" s="97">
        <v>167155.71</v>
      </c>
      <c r="K18" s="98">
        <v>-0.107293274289419</v>
      </c>
      <c r="L18" s="251">
        <f>H18/M18-1</f>
        <v>-0.107525065038044</v>
      </c>
      <c r="M18" s="97">
        <v>36282.61</v>
      </c>
      <c r="N18" s="97">
        <f>J18/O18-1</f>
        <v>-0.107293274289419</v>
      </c>
      <c r="O18" s="98">
        <v>187245.94</v>
      </c>
      <c r="P18" s="252"/>
      <c r="Q18" s="98"/>
    </row>
    <row r="19" s="232" customFormat="1" ht="31.05" customHeight="1" spans="1:17">
      <c r="A19" s="96" t="s">
        <v>238</v>
      </c>
      <c r="B19" s="97">
        <v>11731.83</v>
      </c>
      <c r="C19" s="98">
        <v>0.00633989596771989</v>
      </c>
      <c r="D19" s="97">
        <v>96645.23</v>
      </c>
      <c r="E19" s="98">
        <v>0.0209110652256514</v>
      </c>
      <c r="G19" s="96" t="s">
        <v>238</v>
      </c>
      <c r="H19" s="97">
        <v>144824.79</v>
      </c>
      <c r="I19" s="98">
        <v>-0.0165609809130047</v>
      </c>
      <c r="J19" s="97">
        <v>1190572.53</v>
      </c>
      <c r="K19" s="98">
        <v>-0.00897625526071066</v>
      </c>
      <c r="M19" s="97">
        <v>147263.62</v>
      </c>
      <c r="N19" s="252"/>
      <c r="O19" s="98">
        <v>1201356.21</v>
      </c>
      <c r="P19" s="252"/>
      <c r="Q19" s="98"/>
    </row>
    <row r="20" s="232" customFormat="1" ht="28.05" customHeight="1" spans="1:17">
      <c r="A20" s="90" t="s">
        <v>239</v>
      </c>
      <c r="B20" s="105">
        <v>46.05</v>
      </c>
      <c r="C20" s="98">
        <v>0.0145406477197621</v>
      </c>
      <c r="D20" s="105">
        <v>156.57</v>
      </c>
      <c r="E20" s="106">
        <v>0.0145143523618219</v>
      </c>
      <c r="G20" s="90" t="s">
        <v>239</v>
      </c>
      <c r="H20" s="105">
        <v>557.59</v>
      </c>
      <c r="I20" s="98">
        <v>-0.0778759013031685</v>
      </c>
      <c r="J20" s="105">
        <v>1895.81</v>
      </c>
      <c r="K20" s="98">
        <v>-0.0778775438733025</v>
      </c>
      <c r="M20" s="105">
        <v>604.68</v>
      </c>
      <c r="N20" s="105"/>
      <c r="O20" s="98">
        <v>2055.92</v>
      </c>
      <c r="P20" s="105"/>
      <c r="Q20" s="106"/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8"/>
  <sheetViews>
    <sheetView zoomScale="90" zoomScaleNormal="90" topLeftCell="B1" workbookViewId="0">
      <selection activeCell="S13" sqref="S13"/>
    </sheetView>
  </sheetViews>
  <sheetFormatPr defaultColWidth="8.77777777777778" defaultRowHeight="15.6"/>
  <cols>
    <col min="1" max="1" width="7" style="16" customWidth="1"/>
    <col min="2" max="2" width="15.1851851851852" style="16" customWidth="1"/>
    <col min="3" max="3" width="6.65740740740741" style="16" customWidth="1"/>
    <col min="4" max="4" width="11.1111111111111" style="59" customWidth="1"/>
    <col min="5" max="5" width="9.44444444444444" style="59" customWidth="1"/>
    <col min="6" max="6" width="7.27777777777778" style="16" customWidth="1"/>
    <col min="7" max="7" width="12.3333333333333" style="59" customWidth="1"/>
    <col min="8" max="8" width="7.02777777777778" style="16" customWidth="1"/>
    <col min="9" max="9" width="10.9907407407407" style="59" customWidth="1"/>
    <col min="10" max="10" width="8.66666666666667" style="59" customWidth="1"/>
    <col min="11" max="11" width="7.02777777777778" style="16" customWidth="1"/>
    <col min="12" max="12" width="12" style="59" customWidth="1"/>
    <col min="13" max="13" width="6.66666666666667" style="16" customWidth="1"/>
    <col min="14" max="14" width="10.7407407407407" style="59" customWidth="1"/>
    <col min="15" max="15" width="8.66666666666667" style="59" customWidth="1"/>
    <col min="16" max="16" width="7.52777777777778" style="16" customWidth="1"/>
    <col min="17" max="17" width="12.4444444444444" style="59" customWidth="1"/>
    <col min="18" max="18" width="6.16666666666667" style="16" customWidth="1"/>
    <col min="19" max="19" width="12" style="59" customWidth="1"/>
    <col min="20" max="20" width="8.66666666666667" style="59" customWidth="1"/>
    <col min="21" max="21" width="7.52777777777778" style="16" customWidth="1"/>
    <col min="22" max="22" width="11.3611111111111" style="59" customWidth="1"/>
    <col min="23" max="23" width="8.66666666666667" style="59" customWidth="1"/>
    <col min="24" max="24" width="10.6111111111111" style="59" customWidth="1"/>
    <col min="25" max="25" width="7.89814814814815" style="59" customWidth="1"/>
  </cols>
  <sheetData>
    <row r="1" ht="27" customHeight="1" spans="1:25">
      <c r="A1" s="114" t="s">
        <v>242</v>
      </c>
    </row>
    <row r="2" ht="19.05" customHeight="1" spans="1:25">
      <c r="A2" s="233" t="s">
        <v>243</v>
      </c>
    </row>
    <row r="3" ht="19.05" customHeight="1" spans="1:25">
      <c r="A3" s="234"/>
      <c r="B3" s="235" t="s">
        <v>244</v>
      </c>
      <c r="C3" s="236"/>
      <c r="D3" s="237"/>
      <c r="E3" s="237"/>
      <c r="F3" s="238"/>
      <c r="G3" s="235" t="s">
        <v>245</v>
      </c>
      <c r="H3" s="236"/>
      <c r="I3" s="237"/>
      <c r="J3" s="237"/>
      <c r="K3" s="238"/>
      <c r="L3" s="235" t="s">
        <v>246</v>
      </c>
      <c r="M3" s="236"/>
      <c r="N3" s="237"/>
      <c r="O3" s="237"/>
      <c r="P3" s="238"/>
      <c r="Q3" s="235" t="s">
        <v>247</v>
      </c>
      <c r="R3" s="236"/>
      <c r="S3" s="237"/>
      <c r="T3" s="237"/>
      <c r="U3" s="238"/>
      <c r="V3" s="235" t="s">
        <v>248</v>
      </c>
      <c r="W3" s="239"/>
      <c r="X3" s="235" t="s">
        <v>249</v>
      </c>
      <c r="Y3" s="239"/>
    </row>
    <row r="4" s="121" customFormat="1" ht="33" customHeight="1" spans="1:25">
      <c r="A4" s="29"/>
      <c r="B4" s="240" t="s">
        <v>250</v>
      </c>
      <c r="C4" s="240" t="s">
        <v>123</v>
      </c>
      <c r="D4" s="240" t="s">
        <v>251</v>
      </c>
      <c r="E4" s="240" t="s">
        <v>252</v>
      </c>
      <c r="F4" s="240" t="s">
        <v>126</v>
      </c>
      <c r="G4" s="240" t="s">
        <v>253</v>
      </c>
      <c r="H4" s="240" t="s">
        <v>123</v>
      </c>
      <c r="I4" s="240" t="s">
        <v>251</v>
      </c>
      <c r="J4" s="240" t="s">
        <v>252</v>
      </c>
      <c r="K4" s="240" t="s">
        <v>126</v>
      </c>
      <c r="L4" s="240" t="s">
        <v>254</v>
      </c>
      <c r="M4" s="240" t="s">
        <v>123</v>
      </c>
      <c r="N4" s="240" t="s">
        <v>251</v>
      </c>
      <c r="O4" s="240" t="s">
        <v>252</v>
      </c>
      <c r="P4" s="240" t="s">
        <v>126</v>
      </c>
      <c r="Q4" s="240" t="s">
        <v>254</v>
      </c>
      <c r="R4" s="240" t="s">
        <v>123</v>
      </c>
      <c r="S4" s="240" t="s">
        <v>251</v>
      </c>
      <c r="T4" s="240" t="s">
        <v>252</v>
      </c>
      <c r="U4" s="240" t="s">
        <v>126</v>
      </c>
      <c r="V4" s="240" t="s">
        <v>255</v>
      </c>
      <c r="W4" s="240" t="s">
        <v>252</v>
      </c>
      <c r="X4" s="240" t="s">
        <v>256</v>
      </c>
      <c r="Y4" s="240" t="s">
        <v>252</v>
      </c>
    </row>
    <row r="5" s="232" customFormat="1" ht="24" customHeight="1" spans="1:25">
      <c r="A5" s="82" t="s">
        <v>80</v>
      </c>
      <c r="B5" s="241">
        <f>G5+L5+Q5+V5+X5</f>
        <v>237412.33</v>
      </c>
      <c r="C5" s="242"/>
      <c r="D5" s="243"/>
      <c r="E5" s="243">
        <v>-0.00441924319915077</v>
      </c>
      <c r="F5" s="244"/>
      <c r="G5" s="241">
        <f>SUM(G6:G22)</f>
        <v>88266.88</v>
      </c>
      <c r="H5" s="125"/>
      <c r="I5" s="245"/>
      <c r="J5" s="246">
        <v>-0.0498221058137506</v>
      </c>
      <c r="K5" s="244"/>
      <c r="L5" s="241">
        <f>SUM(L6:L22)</f>
        <v>38641.26</v>
      </c>
      <c r="M5" s="125"/>
      <c r="N5" s="245"/>
      <c r="O5" s="246">
        <v>-0.10021851123619</v>
      </c>
      <c r="P5" s="244"/>
      <c r="Q5" s="241">
        <f>SUM(Q6:Q22)</f>
        <v>26382.29</v>
      </c>
      <c r="R5" s="125"/>
      <c r="S5" s="245"/>
      <c r="T5" s="246">
        <v>0.461128925958539</v>
      </c>
      <c r="U5" s="244"/>
      <c r="V5" s="241">
        <v>83788</v>
      </c>
      <c r="W5" s="247">
        <v>-0.00515210292047485</v>
      </c>
      <c r="X5" s="241">
        <v>333.9</v>
      </c>
      <c r="Y5" s="247">
        <v>-0.0401862711279752</v>
      </c>
    </row>
    <row r="6" s="232" customFormat="1" ht="25.05" customHeight="1" spans="1:25">
      <c r="A6" s="90" t="s">
        <v>127</v>
      </c>
      <c r="B6" s="241">
        <v>135474.779894424</v>
      </c>
      <c r="C6" s="242">
        <f t="shared" ref="C6:C22" si="0">RANK(B6,B$6:B$22)</f>
        <v>1</v>
      </c>
      <c r="D6" s="243">
        <f t="shared" ref="D6:D22" si="1">B6/B$5</f>
        <v>0.570630766710491</v>
      </c>
      <c r="E6" s="243">
        <v>-0.0238395427782188</v>
      </c>
      <c r="F6" s="242">
        <f t="shared" ref="F6:F22" si="2">RANK(E6,E$6:E$22)</f>
        <v>13</v>
      </c>
      <c r="G6" s="248">
        <v>32906.14</v>
      </c>
      <c r="H6" s="242">
        <f t="shared" ref="H6:H22" si="3">RANK(G6,G$6:G$22)</f>
        <v>1</v>
      </c>
      <c r="I6" s="243">
        <f t="shared" ref="I6:I22" si="4">G6/G$5</f>
        <v>0.372802799872387</v>
      </c>
      <c r="J6" s="246">
        <v>-0.0415719946582706</v>
      </c>
      <c r="K6" s="242">
        <f t="shared" ref="K6:K22" si="5">RANK(J6,J$6:J$22)</f>
        <v>11</v>
      </c>
      <c r="L6" s="248">
        <v>7968</v>
      </c>
      <c r="M6" s="242">
        <f t="shared" ref="M6:M22" si="6">RANK(L6,L$6:L$22)</f>
        <v>1</v>
      </c>
      <c r="N6" s="243">
        <f t="shared" ref="N6:N22" si="7">L6/L$5</f>
        <v>0.206204456065874</v>
      </c>
      <c r="O6" s="246">
        <v>-0.23670849698247</v>
      </c>
      <c r="P6" s="242">
        <f t="shared" ref="P6:P22" si="8">RANK(O6,O$6:O$22)</f>
        <v>16</v>
      </c>
      <c r="Q6" s="248">
        <v>10723.0798944242</v>
      </c>
      <c r="R6" s="242">
        <f t="shared" ref="R6:R22" si="9">RANK(Q6,Q$6:Q$22)</f>
        <v>1</v>
      </c>
      <c r="S6" s="243">
        <f t="shared" ref="S6:S22" si="10">Q6/Q$5</f>
        <v>0.40644992888882</v>
      </c>
      <c r="T6" s="246">
        <v>0.103724336768693</v>
      </c>
      <c r="U6" s="242">
        <f t="shared" ref="U6:U22" si="11">RANK(T6,T$6:T$22)</f>
        <v>17</v>
      </c>
      <c r="V6" s="94">
        <v>83543.66</v>
      </c>
      <c r="W6" s="247">
        <v>-0.00481204827486481</v>
      </c>
      <c r="X6" s="241">
        <v>333.9</v>
      </c>
      <c r="Y6" s="247">
        <v>-0.0401862711279752</v>
      </c>
    </row>
    <row r="7" s="232" customFormat="1" ht="20.4" customHeight="1" spans="1:25">
      <c r="A7" s="90" t="s">
        <v>128</v>
      </c>
      <c r="B7" s="241">
        <v>9135.6392231531</v>
      </c>
      <c r="C7" s="242">
        <f t="shared" si="0"/>
        <v>6</v>
      </c>
      <c r="D7" s="243">
        <f t="shared" si="1"/>
        <v>0.0384800537661759</v>
      </c>
      <c r="E7" s="243">
        <v>-0.0958698152939174</v>
      </c>
      <c r="F7" s="242">
        <f t="shared" si="2"/>
        <v>16</v>
      </c>
      <c r="G7" s="248">
        <v>6267.84</v>
      </c>
      <c r="H7" s="242">
        <f t="shared" si="3"/>
        <v>5</v>
      </c>
      <c r="I7" s="243">
        <f t="shared" si="4"/>
        <v>0.0710101002777033</v>
      </c>
      <c r="J7" s="246">
        <v>-0.109765277687035</v>
      </c>
      <c r="K7" s="242">
        <f t="shared" si="5"/>
        <v>15</v>
      </c>
      <c r="L7" s="248">
        <v>1868.89</v>
      </c>
      <c r="M7" s="242">
        <f t="shared" si="6"/>
        <v>10</v>
      </c>
      <c r="N7" s="243">
        <f t="shared" si="7"/>
        <v>0.0483651413023281</v>
      </c>
      <c r="O7" s="246">
        <v>-0.16220323483001</v>
      </c>
      <c r="P7" s="242">
        <f t="shared" si="8"/>
        <v>14</v>
      </c>
      <c r="Q7" s="248">
        <v>754.569223153108</v>
      </c>
      <c r="R7" s="242">
        <f t="shared" si="9"/>
        <v>11</v>
      </c>
      <c r="S7" s="243">
        <f t="shared" si="10"/>
        <v>0.0286013542855116</v>
      </c>
      <c r="T7" s="246">
        <v>0.350675861640424</v>
      </c>
      <c r="U7" s="242">
        <f t="shared" si="11"/>
        <v>15</v>
      </c>
      <c r="V7" s="94">
        <v>244.34</v>
      </c>
      <c r="W7" s="247">
        <v>-0.109223477943857</v>
      </c>
      <c r="X7" s="94"/>
      <c r="Y7" s="249"/>
    </row>
    <row r="8" s="232" customFormat="1" ht="20.4" customHeight="1" spans="1:25">
      <c r="A8" s="90" t="s">
        <v>129</v>
      </c>
      <c r="B8" s="241">
        <v>12582.3216808481</v>
      </c>
      <c r="C8" s="242">
        <f t="shared" si="0"/>
        <v>4</v>
      </c>
      <c r="D8" s="243">
        <f t="shared" si="1"/>
        <v>0.0529977599766958</v>
      </c>
      <c r="E8" s="243">
        <v>0.0640516648512413</v>
      </c>
      <c r="F8" s="242">
        <f t="shared" si="2"/>
        <v>7</v>
      </c>
      <c r="G8" s="248">
        <v>8626.05</v>
      </c>
      <c r="H8" s="242">
        <f t="shared" si="3"/>
        <v>3</v>
      </c>
      <c r="I8" s="243">
        <f t="shared" si="4"/>
        <v>0.0977269163699906</v>
      </c>
      <c r="J8" s="246">
        <v>-0.00126433228319678</v>
      </c>
      <c r="K8" s="242">
        <f t="shared" si="5"/>
        <v>4</v>
      </c>
      <c r="L8" s="248">
        <v>2071.07</v>
      </c>
      <c r="M8" s="242">
        <f t="shared" si="6"/>
        <v>8</v>
      </c>
      <c r="N8" s="243">
        <f t="shared" si="7"/>
        <v>0.0535973723424133</v>
      </c>
      <c r="O8" s="246">
        <v>-0.114828998093805</v>
      </c>
      <c r="P8" s="242">
        <f t="shared" si="8"/>
        <v>12</v>
      </c>
      <c r="Q8" s="248">
        <v>1885.20168084812</v>
      </c>
      <c r="R8" s="242">
        <f t="shared" si="9"/>
        <v>4</v>
      </c>
      <c r="S8" s="243">
        <f t="shared" si="10"/>
        <v>0.0714570903757075</v>
      </c>
      <c r="T8" s="246">
        <v>1.22257496547547</v>
      </c>
      <c r="U8" s="242">
        <f t="shared" si="11"/>
        <v>9</v>
      </c>
      <c r="V8" s="94"/>
      <c r="W8" s="245"/>
      <c r="X8" s="94"/>
      <c r="Y8" s="249"/>
    </row>
    <row r="9" s="232" customFormat="1" ht="20.4" customHeight="1" spans="1:25">
      <c r="A9" s="90" t="s">
        <v>130</v>
      </c>
      <c r="B9" s="241">
        <v>14876.1663099843</v>
      </c>
      <c r="C9" s="242">
        <f t="shared" si="0"/>
        <v>2</v>
      </c>
      <c r="D9" s="243">
        <f t="shared" si="1"/>
        <v>0.0626596197003934</v>
      </c>
      <c r="E9" s="243">
        <v>0.0999661440231046</v>
      </c>
      <c r="F9" s="242">
        <f t="shared" si="2"/>
        <v>5</v>
      </c>
      <c r="G9" s="248">
        <v>7041.66</v>
      </c>
      <c r="H9" s="242">
        <f t="shared" si="3"/>
        <v>4</v>
      </c>
      <c r="I9" s="243">
        <f t="shared" si="4"/>
        <v>0.0797769219893124</v>
      </c>
      <c r="J9" s="246">
        <v>-0.0132424160893255</v>
      </c>
      <c r="K9" s="242">
        <f t="shared" si="5"/>
        <v>7</v>
      </c>
      <c r="L9" s="248">
        <v>5365.83</v>
      </c>
      <c r="M9" s="242">
        <f t="shared" si="6"/>
        <v>2</v>
      </c>
      <c r="N9" s="243">
        <f t="shared" si="7"/>
        <v>0.138862707893066</v>
      </c>
      <c r="O9" s="246">
        <v>0.145888679132463</v>
      </c>
      <c r="P9" s="242">
        <f t="shared" si="8"/>
        <v>1</v>
      </c>
      <c r="Q9" s="248">
        <v>2468.67630998425</v>
      </c>
      <c r="R9" s="242">
        <f t="shared" si="9"/>
        <v>2</v>
      </c>
      <c r="S9" s="243">
        <f t="shared" si="10"/>
        <v>0.0935732383346652</v>
      </c>
      <c r="T9" s="246">
        <v>0.44759511328426</v>
      </c>
      <c r="U9" s="242">
        <f t="shared" si="11"/>
        <v>12</v>
      </c>
      <c r="V9" s="94"/>
      <c r="W9" s="245"/>
      <c r="X9" s="94"/>
      <c r="Y9" s="249"/>
    </row>
    <row r="10" s="232" customFormat="1" ht="20.4" customHeight="1" spans="1:25">
      <c r="A10" s="90" t="s">
        <v>131</v>
      </c>
      <c r="B10" s="241">
        <v>13257.9714427465</v>
      </c>
      <c r="C10" s="242">
        <f t="shared" si="0"/>
        <v>3</v>
      </c>
      <c r="D10" s="243">
        <f t="shared" si="1"/>
        <v>0.0558436516028738</v>
      </c>
      <c r="E10" s="243">
        <v>-0.0453204648846849</v>
      </c>
      <c r="F10" s="242">
        <f t="shared" si="2"/>
        <v>14</v>
      </c>
      <c r="G10" s="248">
        <v>8842.28</v>
      </c>
      <c r="H10" s="242">
        <f t="shared" si="3"/>
        <v>2</v>
      </c>
      <c r="I10" s="243">
        <f t="shared" si="4"/>
        <v>0.100176646098741</v>
      </c>
      <c r="J10" s="246">
        <v>-0.111076707167258</v>
      </c>
      <c r="K10" s="242">
        <f t="shared" si="5"/>
        <v>16</v>
      </c>
      <c r="L10" s="248">
        <v>2277.24</v>
      </c>
      <c r="M10" s="242">
        <f t="shared" si="6"/>
        <v>6</v>
      </c>
      <c r="N10" s="243">
        <f t="shared" si="7"/>
        <v>0.0589328608849711</v>
      </c>
      <c r="O10" s="246">
        <v>-0.0516439354502864</v>
      </c>
      <c r="P10" s="242">
        <f t="shared" si="8"/>
        <v>9</v>
      </c>
      <c r="Q10" s="248">
        <v>2138.45144274648</v>
      </c>
      <c r="R10" s="242">
        <f t="shared" si="9"/>
        <v>3</v>
      </c>
      <c r="S10" s="243">
        <f t="shared" si="10"/>
        <v>0.0810563238728133</v>
      </c>
      <c r="T10" s="246">
        <v>0.389576883285035</v>
      </c>
      <c r="U10" s="242">
        <f t="shared" si="11"/>
        <v>14</v>
      </c>
      <c r="V10" s="94"/>
      <c r="W10" s="245"/>
      <c r="X10" s="94"/>
      <c r="Y10" s="249"/>
    </row>
    <row r="11" s="232" customFormat="1" ht="20.4" customHeight="1" spans="1:25">
      <c r="A11" s="90" t="s">
        <v>132</v>
      </c>
      <c r="B11" s="241">
        <v>2112.37312734661</v>
      </c>
      <c r="C11" s="242">
        <f t="shared" si="0"/>
        <v>13</v>
      </c>
      <c r="D11" s="243">
        <f t="shared" si="1"/>
        <v>0.00889748703172498</v>
      </c>
      <c r="E11" s="243">
        <v>-0.106925216528947</v>
      </c>
      <c r="F11" s="242">
        <f t="shared" si="2"/>
        <v>17</v>
      </c>
      <c r="G11" s="248">
        <v>1438.61</v>
      </c>
      <c r="H11" s="242">
        <f t="shared" si="3"/>
        <v>12</v>
      </c>
      <c r="I11" s="243">
        <f t="shared" si="4"/>
        <v>0.0162984122696984</v>
      </c>
      <c r="J11" s="246">
        <v>-0.00360848305190398</v>
      </c>
      <c r="K11" s="242">
        <f t="shared" si="5"/>
        <v>5</v>
      </c>
      <c r="L11" s="248">
        <v>344.85</v>
      </c>
      <c r="M11" s="242">
        <f t="shared" si="6"/>
        <v>16</v>
      </c>
      <c r="N11" s="243">
        <f t="shared" si="7"/>
        <v>0.00892439842800157</v>
      </c>
      <c r="O11" s="246">
        <v>-0.496826439045743</v>
      </c>
      <c r="P11" s="242">
        <f t="shared" si="8"/>
        <v>17</v>
      </c>
      <c r="Q11" s="248">
        <v>328.913127346608</v>
      </c>
      <c r="R11" s="242">
        <f t="shared" si="9"/>
        <v>14</v>
      </c>
      <c r="S11" s="243">
        <f t="shared" si="10"/>
        <v>0.012467193990613</v>
      </c>
      <c r="T11" s="246">
        <v>0.39304243825867</v>
      </c>
      <c r="U11" s="242">
        <f t="shared" si="11"/>
        <v>13</v>
      </c>
      <c r="V11" s="94"/>
      <c r="W11" s="245"/>
      <c r="X11" s="94"/>
      <c r="Y11" s="249"/>
    </row>
    <row r="12" s="232" customFormat="1" ht="20.4" customHeight="1" spans="1:25">
      <c r="A12" s="90" t="s">
        <v>133</v>
      </c>
      <c r="B12" s="241">
        <v>6625.54322195638</v>
      </c>
      <c r="C12" s="242">
        <f t="shared" si="0"/>
        <v>8</v>
      </c>
      <c r="D12" s="243">
        <f t="shared" si="1"/>
        <v>0.0279073257145338</v>
      </c>
      <c r="E12" s="243">
        <v>0.0163986742475521</v>
      </c>
      <c r="F12" s="242">
        <f t="shared" si="2"/>
        <v>8</v>
      </c>
      <c r="G12" s="248">
        <v>3868.73</v>
      </c>
      <c r="H12" s="242">
        <f t="shared" si="3"/>
        <v>7</v>
      </c>
      <c r="I12" s="243">
        <f t="shared" si="4"/>
        <v>0.0438299167252768</v>
      </c>
      <c r="J12" s="246">
        <v>-0.0385310293580399</v>
      </c>
      <c r="K12" s="242">
        <f t="shared" si="5"/>
        <v>9</v>
      </c>
      <c r="L12" s="248">
        <v>1908.06</v>
      </c>
      <c r="M12" s="242">
        <f t="shared" si="6"/>
        <v>9</v>
      </c>
      <c r="N12" s="243">
        <f t="shared" si="7"/>
        <v>0.0493788246035455</v>
      </c>
      <c r="O12" s="246">
        <v>-0.120300231905172</v>
      </c>
      <c r="P12" s="242">
        <f t="shared" si="8"/>
        <v>13</v>
      </c>
      <c r="Q12" s="248">
        <v>848.753221956377</v>
      </c>
      <c r="R12" s="242">
        <f t="shared" si="9"/>
        <v>9</v>
      </c>
      <c r="S12" s="243">
        <f t="shared" si="10"/>
        <v>0.0321713248530123</v>
      </c>
      <c r="T12" s="246">
        <v>1.60444770084959</v>
      </c>
      <c r="U12" s="242">
        <f t="shared" si="11"/>
        <v>7</v>
      </c>
      <c r="V12" s="94"/>
      <c r="W12" s="245"/>
      <c r="X12" s="94"/>
      <c r="Y12" s="249"/>
    </row>
    <row r="13" ht="20.4" customHeight="1" spans="1:25">
      <c r="A13" s="90" t="s">
        <v>134</v>
      </c>
      <c r="B13" s="241">
        <v>5620.03602336987</v>
      </c>
      <c r="C13" s="242">
        <f t="shared" si="0"/>
        <v>11</v>
      </c>
      <c r="D13" s="243">
        <f t="shared" si="1"/>
        <v>0.0236720477970536</v>
      </c>
      <c r="E13" s="243">
        <v>0.168608540294263</v>
      </c>
      <c r="F13" s="242">
        <f t="shared" si="2"/>
        <v>3</v>
      </c>
      <c r="G13" s="248">
        <v>1935.06</v>
      </c>
      <c r="H13" s="242">
        <f t="shared" si="3"/>
        <v>11</v>
      </c>
      <c r="I13" s="243">
        <f t="shared" si="4"/>
        <v>0.0219228322106774</v>
      </c>
      <c r="J13" s="246">
        <v>0.0644245684676064</v>
      </c>
      <c r="K13" s="242">
        <f t="shared" si="5"/>
        <v>1</v>
      </c>
      <c r="L13" s="248">
        <v>2721.71</v>
      </c>
      <c r="M13" s="242">
        <f t="shared" si="6"/>
        <v>5</v>
      </c>
      <c r="N13" s="243">
        <f t="shared" si="7"/>
        <v>0.0704353325952622</v>
      </c>
      <c r="O13" s="246">
        <v>0.0362142549845998</v>
      </c>
      <c r="P13" s="242">
        <f t="shared" si="8"/>
        <v>5</v>
      </c>
      <c r="Q13" s="248">
        <v>963.266023369866</v>
      </c>
      <c r="R13" s="242">
        <f t="shared" si="9"/>
        <v>8</v>
      </c>
      <c r="S13" s="243">
        <f t="shared" si="10"/>
        <v>0.0365118427312363</v>
      </c>
      <c r="T13" s="246">
        <v>1.64169738203978</v>
      </c>
      <c r="U13" s="242">
        <f t="shared" si="11"/>
        <v>6</v>
      </c>
      <c r="V13" s="94"/>
      <c r="W13" s="245"/>
      <c r="X13" s="94"/>
      <c r="Y13" s="245"/>
    </row>
    <row r="14" ht="20.4" customHeight="1" spans="1:25">
      <c r="A14" s="90" t="s">
        <v>135</v>
      </c>
      <c r="B14" s="241">
        <v>11203.0760967715</v>
      </c>
      <c r="C14" s="242">
        <f t="shared" si="0"/>
        <v>5</v>
      </c>
      <c r="D14" s="243">
        <f t="shared" si="1"/>
        <v>0.0471882656506151</v>
      </c>
      <c r="E14" s="243">
        <v>-0.00802685888712995</v>
      </c>
      <c r="F14" s="242">
        <f t="shared" si="2"/>
        <v>12</v>
      </c>
      <c r="G14" s="248">
        <v>5309.27</v>
      </c>
      <c r="H14" s="242">
        <f t="shared" si="3"/>
        <v>6</v>
      </c>
      <c r="I14" s="243">
        <f t="shared" si="4"/>
        <v>0.0601501945010405</v>
      </c>
      <c r="J14" s="246">
        <v>0.00471771309189051</v>
      </c>
      <c r="K14" s="242">
        <f t="shared" si="5"/>
        <v>3</v>
      </c>
      <c r="L14" s="248">
        <v>4642.19</v>
      </c>
      <c r="M14" s="242">
        <f t="shared" si="6"/>
        <v>3</v>
      </c>
      <c r="N14" s="243">
        <f t="shared" si="7"/>
        <v>0.120135575289212</v>
      </c>
      <c r="O14" s="246">
        <v>-0.113126226279199</v>
      </c>
      <c r="P14" s="242">
        <f t="shared" si="8"/>
        <v>11</v>
      </c>
      <c r="Q14" s="248">
        <v>1251.61609677151</v>
      </c>
      <c r="R14" s="242">
        <f t="shared" si="9"/>
        <v>6</v>
      </c>
      <c r="S14" s="243">
        <f t="shared" si="10"/>
        <v>0.0474415259923044</v>
      </c>
      <c r="T14" s="246">
        <v>0.614865015599774</v>
      </c>
      <c r="U14" s="242">
        <f t="shared" si="11"/>
        <v>11</v>
      </c>
      <c r="V14" s="94"/>
      <c r="W14" s="245"/>
      <c r="X14" s="94"/>
      <c r="Y14" s="245"/>
    </row>
    <row r="15" ht="20.4" customHeight="1" spans="1:25">
      <c r="A15" s="90" t="s">
        <v>136</v>
      </c>
      <c r="B15" s="241">
        <v>6011.02817755521</v>
      </c>
      <c r="C15" s="242">
        <f t="shared" si="0"/>
        <v>9</v>
      </c>
      <c r="D15" s="243">
        <f t="shared" si="1"/>
        <v>0.0253189384795441</v>
      </c>
      <c r="E15" s="243">
        <v>-0.00761176846751555</v>
      </c>
      <c r="F15" s="242">
        <f t="shared" si="2"/>
        <v>11</v>
      </c>
      <c r="G15" s="248">
        <v>2830.47</v>
      </c>
      <c r="H15" s="242">
        <f t="shared" si="3"/>
        <v>9</v>
      </c>
      <c r="I15" s="243">
        <f t="shared" si="4"/>
        <v>0.0320671808043968</v>
      </c>
      <c r="J15" s="246">
        <v>-0.0148684911196265</v>
      </c>
      <c r="K15" s="242">
        <f t="shared" si="5"/>
        <v>8</v>
      </c>
      <c r="L15" s="248">
        <v>2171.67</v>
      </c>
      <c r="M15" s="242">
        <f t="shared" si="6"/>
        <v>7</v>
      </c>
      <c r="N15" s="243">
        <f t="shared" si="7"/>
        <v>0.0562008071165381</v>
      </c>
      <c r="O15" s="246">
        <v>-0.211001874700266</v>
      </c>
      <c r="P15" s="242">
        <f t="shared" si="8"/>
        <v>15</v>
      </c>
      <c r="Q15" s="248">
        <v>1008.88817755521</v>
      </c>
      <c r="R15" s="242">
        <f t="shared" si="9"/>
        <v>7</v>
      </c>
      <c r="S15" s="243">
        <f t="shared" si="10"/>
        <v>0.0382411146854656</v>
      </c>
      <c r="T15" s="246">
        <v>1.33807550684211</v>
      </c>
      <c r="U15" s="242">
        <f t="shared" si="11"/>
        <v>8</v>
      </c>
      <c r="V15" s="94"/>
      <c r="W15" s="245"/>
      <c r="X15" s="94"/>
      <c r="Y15" s="245"/>
    </row>
    <row r="16" ht="20.4" customHeight="1" spans="1:25">
      <c r="A16" s="90" t="s">
        <v>137</v>
      </c>
      <c r="B16" s="241">
        <v>5772.90677487165</v>
      </c>
      <c r="C16" s="242">
        <f t="shared" si="0"/>
        <v>10</v>
      </c>
      <c r="D16" s="243">
        <f t="shared" si="1"/>
        <v>0.0243159518078596</v>
      </c>
      <c r="E16" s="243">
        <v>0.00571931946450133</v>
      </c>
      <c r="F16" s="242">
        <f t="shared" si="2"/>
        <v>9</v>
      </c>
      <c r="G16" s="248">
        <v>3534.96</v>
      </c>
      <c r="H16" s="242">
        <f t="shared" si="3"/>
        <v>8</v>
      </c>
      <c r="I16" s="243">
        <f t="shared" si="4"/>
        <v>0.0400485436893204</v>
      </c>
      <c r="J16" s="246">
        <v>-0.058127637805346</v>
      </c>
      <c r="K16" s="242">
        <f t="shared" si="5"/>
        <v>13</v>
      </c>
      <c r="L16" s="248">
        <v>1418.49</v>
      </c>
      <c r="M16" s="242">
        <f t="shared" si="6"/>
        <v>11</v>
      </c>
      <c r="N16" s="243">
        <f t="shared" si="7"/>
        <v>0.0367092066873596</v>
      </c>
      <c r="O16" s="246">
        <v>0.0483105711245124</v>
      </c>
      <c r="P16" s="242">
        <f t="shared" si="8"/>
        <v>4</v>
      </c>
      <c r="Q16" s="248">
        <v>819.45677487165</v>
      </c>
      <c r="R16" s="242">
        <f t="shared" si="9"/>
        <v>10</v>
      </c>
      <c r="S16" s="243">
        <f t="shared" si="10"/>
        <v>0.0310608660154843</v>
      </c>
      <c r="T16" s="246">
        <v>0.292850067570066</v>
      </c>
      <c r="U16" s="242">
        <f t="shared" si="11"/>
        <v>16</v>
      </c>
      <c r="V16" s="94"/>
      <c r="W16" s="245"/>
      <c r="X16" s="94"/>
      <c r="Y16" s="245"/>
    </row>
    <row r="17" ht="20.4" customHeight="1" spans="1:25">
      <c r="A17" s="90" t="s">
        <v>138</v>
      </c>
      <c r="B17" s="241">
        <v>2671.70490401117</v>
      </c>
      <c r="C17" s="242">
        <f t="shared" si="0"/>
        <v>12</v>
      </c>
      <c r="D17" s="243">
        <f t="shared" si="1"/>
        <v>0.0112534378648791</v>
      </c>
      <c r="E17" s="243">
        <v>0.200738854361145</v>
      </c>
      <c r="F17" s="242">
        <f t="shared" si="2"/>
        <v>2</v>
      </c>
      <c r="G17" s="248">
        <v>995.13</v>
      </c>
      <c r="H17" s="242">
        <f t="shared" si="3"/>
        <v>13</v>
      </c>
      <c r="I17" s="243">
        <f t="shared" si="4"/>
        <v>0.0112741041713494</v>
      </c>
      <c r="J17" s="246">
        <v>-0.0390045580964152</v>
      </c>
      <c r="K17" s="242">
        <f t="shared" si="5"/>
        <v>10</v>
      </c>
      <c r="L17" s="248">
        <v>1122.77</v>
      </c>
      <c r="M17" s="242">
        <f t="shared" si="6"/>
        <v>12</v>
      </c>
      <c r="N17" s="243">
        <f t="shared" si="7"/>
        <v>0.0290562471306578</v>
      </c>
      <c r="O17" s="246">
        <v>0.0490726465779023</v>
      </c>
      <c r="P17" s="242">
        <f t="shared" si="8"/>
        <v>3</v>
      </c>
      <c r="Q17" s="248">
        <v>553.804904011171</v>
      </c>
      <c r="R17" s="242">
        <f t="shared" si="9"/>
        <v>12</v>
      </c>
      <c r="S17" s="243">
        <f t="shared" si="10"/>
        <v>0.0209915403102298</v>
      </c>
      <c r="T17" s="246">
        <v>3.64286855878032</v>
      </c>
      <c r="U17" s="242">
        <f t="shared" si="11"/>
        <v>3</v>
      </c>
      <c r="V17" s="94"/>
      <c r="W17" s="245"/>
      <c r="X17" s="94"/>
      <c r="Y17" s="245"/>
    </row>
    <row r="18" ht="20.4" customHeight="1" spans="1:25">
      <c r="A18" s="90" t="s">
        <v>147</v>
      </c>
      <c r="B18" s="241">
        <v>7638.00675210309</v>
      </c>
      <c r="C18" s="242">
        <f t="shared" si="0"/>
        <v>7</v>
      </c>
      <c r="D18" s="243">
        <f t="shared" si="1"/>
        <v>0.0321719042650527</v>
      </c>
      <c r="E18" s="243">
        <v>0.0763614718265606</v>
      </c>
      <c r="F18" s="242">
        <f t="shared" si="2"/>
        <v>6</v>
      </c>
      <c r="G18" s="248">
        <v>2804.06</v>
      </c>
      <c r="H18" s="242">
        <f t="shared" si="3"/>
        <v>10</v>
      </c>
      <c r="I18" s="243">
        <f t="shared" si="4"/>
        <v>0.0317679745789134</v>
      </c>
      <c r="J18" s="246">
        <v>-0.0887565888248331</v>
      </c>
      <c r="K18" s="242">
        <f t="shared" si="5"/>
        <v>14</v>
      </c>
      <c r="L18" s="248">
        <v>3241.84</v>
      </c>
      <c r="M18" s="242">
        <f t="shared" si="6"/>
        <v>4</v>
      </c>
      <c r="N18" s="243">
        <f t="shared" si="7"/>
        <v>0.0838958149915401</v>
      </c>
      <c r="O18" s="246">
        <v>-0.0571935436963792</v>
      </c>
      <c r="P18" s="242">
        <f t="shared" si="8"/>
        <v>10</v>
      </c>
      <c r="Q18" s="248">
        <v>1592.10675210309</v>
      </c>
      <c r="R18" s="242">
        <f t="shared" si="9"/>
        <v>5</v>
      </c>
      <c r="S18" s="243">
        <f t="shared" si="10"/>
        <v>0.0603475570961843</v>
      </c>
      <c r="T18" s="246">
        <v>1.74285798700104</v>
      </c>
      <c r="U18" s="242">
        <f t="shared" si="11"/>
        <v>5</v>
      </c>
      <c r="V18" s="94"/>
      <c r="W18" s="245"/>
      <c r="X18" s="94"/>
      <c r="Y18" s="245"/>
    </row>
    <row r="19" ht="20.4" customHeight="1" spans="1:25">
      <c r="A19" s="90" t="s">
        <v>107</v>
      </c>
      <c r="B19" s="241">
        <v>1783.37341148847</v>
      </c>
      <c r="C19" s="242">
        <f t="shared" si="0"/>
        <v>14</v>
      </c>
      <c r="D19" s="243">
        <f t="shared" si="1"/>
        <v>0.00751171353016278</v>
      </c>
      <c r="E19" s="243">
        <v>-0.0793470917667854</v>
      </c>
      <c r="F19" s="242">
        <f t="shared" si="2"/>
        <v>15</v>
      </c>
      <c r="G19" s="248">
        <v>854.69</v>
      </c>
      <c r="H19" s="242">
        <f t="shared" si="3"/>
        <v>14</v>
      </c>
      <c r="I19" s="243">
        <f t="shared" si="4"/>
        <v>0.00968302040357606</v>
      </c>
      <c r="J19" s="246">
        <v>-0.41467607177099</v>
      </c>
      <c r="K19" s="242">
        <f t="shared" si="5"/>
        <v>17</v>
      </c>
      <c r="L19" s="248">
        <v>430.74</v>
      </c>
      <c r="M19" s="242">
        <f t="shared" si="6"/>
        <v>14</v>
      </c>
      <c r="N19" s="243">
        <f t="shared" si="7"/>
        <v>0.0111471520338623</v>
      </c>
      <c r="O19" s="246">
        <v>0.0993874425727412</v>
      </c>
      <c r="P19" s="242">
        <f t="shared" si="8"/>
        <v>2</v>
      </c>
      <c r="Q19" s="248">
        <v>497.943411488472</v>
      </c>
      <c r="R19" s="242">
        <f t="shared" si="9"/>
        <v>13</v>
      </c>
      <c r="S19" s="243">
        <f t="shared" si="10"/>
        <v>0.0188741542712355</v>
      </c>
      <c r="T19" s="246">
        <v>4.85301734353365</v>
      </c>
      <c r="U19" s="250">
        <f t="shared" si="11"/>
        <v>1</v>
      </c>
      <c r="V19" s="94"/>
      <c r="W19" s="245"/>
      <c r="X19" s="94"/>
      <c r="Y19" s="245"/>
    </row>
    <row r="20" ht="20.4" customHeight="1" spans="1:25">
      <c r="A20" s="90" t="s">
        <v>109</v>
      </c>
      <c r="B20" s="241">
        <v>1328.86519742588</v>
      </c>
      <c r="C20" s="242">
        <f t="shared" si="0"/>
        <v>15</v>
      </c>
      <c r="D20" s="243">
        <f t="shared" si="1"/>
        <v>0.00559728804913325</v>
      </c>
      <c r="E20" s="243">
        <v>0.106381200966052</v>
      </c>
      <c r="F20" s="242">
        <f t="shared" si="2"/>
        <v>4</v>
      </c>
      <c r="G20" s="248">
        <v>488.29</v>
      </c>
      <c r="H20" s="242">
        <f t="shared" si="3"/>
        <v>15</v>
      </c>
      <c r="I20" s="243">
        <f t="shared" si="4"/>
        <v>0.00553197303450626</v>
      </c>
      <c r="J20" s="246">
        <v>-0.0475735351486307</v>
      </c>
      <c r="K20" s="242">
        <f t="shared" si="5"/>
        <v>12</v>
      </c>
      <c r="L20" s="248">
        <v>588.4</v>
      </c>
      <c r="M20" s="242">
        <f t="shared" si="6"/>
        <v>13</v>
      </c>
      <c r="N20" s="243">
        <f t="shared" si="7"/>
        <v>0.0152272467305673</v>
      </c>
      <c r="O20" s="246">
        <v>-0.0425670398333765</v>
      </c>
      <c r="P20" s="242">
        <f t="shared" si="8"/>
        <v>8</v>
      </c>
      <c r="Q20" s="248">
        <v>252.175197425883</v>
      </c>
      <c r="R20" s="242">
        <f t="shared" si="9"/>
        <v>16</v>
      </c>
      <c r="S20" s="243">
        <f t="shared" si="10"/>
        <v>0.00955850297399822</v>
      </c>
      <c r="T20" s="246">
        <v>2.41461936026878</v>
      </c>
      <c r="U20" s="242">
        <f t="shared" si="11"/>
        <v>4</v>
      </c>
      <c r="V20" s="94"/>
      <c r="W20" s="245"/>
      <c r="X20" s="94"/>
      <c r="Y20" s="245"/>
    </row>
    <row r="21" ht="20.4" customHeight="1" spans="1:25">
      <c r="A21" s="90" t="s">
        <v>111</v>
      </c>
      <c r="B21" s="241">
        <v>1159.75345925605</v>
      </c>
      <c r="C21" s="242">
        <f t="shared" si="0"/>
        <v>16</v>
      </c>
      <c r="D21" s="243">
        <f t="shared" si="1"/>
        <v>0.00488497568452342</v>
      </c>
      <c r="E21" s="243">
        <v>0.233124547144161</v>
      </c>
      <c r="F21" s="242">
        <f t="shared" si="2"/>
        <v>1</v>
      </c>
      <c r="G21" s="248">
        <v>461.91</v>
      </c>
      <c r="H21" s="242">
        <f t="shared" si="3"/>
        <v>16</v>
      </c>
      <c r="I21" s="243">
        <f t="shared" si="4"/>
        <v>0.00523310668735544</v>
      </c>
      <c r="J21" s="246">
        <v>0.0114743688002277</v>
      </c>
      <c r="K21" s="242">
        <f t="shared" si="5"/>
        <v>2</v>
      </c>
      <c r="L21" s="248">
        <v>404.74</v>
      </c>
      <c r="M21" s="242">
        <f t="shared" si="6"/>
        <v>15</v>
      </c>
      <c r="N21" s="243">
        <f t="shared" si="7"/>
        <v>0.0104742961280248</v>
      </c>
      <c r="O21" s="246">
        <v>-0.0385994916743867</v>
      </c>
      <c r="P21" s="242">
        <f t="shared" si="8"/>
        <v>7</v>
      </c>
      <c r="Q21" s="248">
        <v>293.103459256052</v>
      </c>
      <c r="R21" s="242">
        <f t="shared" si="9"/>
        <v>15</v>
      </c>
      <c r="S21" s="243">
        <f t="shared" si="10"/>
        <v>0.0111098566218494</v>
      </c>
      <c r="T21" s="246">
        <v>3.66429233001359</v>
      </c>
      <c r="U21" s="242">
        <f t="shared" si="11"/>
        <v>2</v>
      </c>
      <c r="V21" s="94"/>
      <c r="W21" s="245"/>
      <c r="X21" s="94"/>
      <c r="Y21" s="245"/>
    </row>
    <row r="22" ht="20.4" customHeight="1" spans="1:25">
      <c r="A22" s="90" t="s">
        <v>112</v>
      </c>
      <c r="B22" s="241">
        <v>158.784302687908</v>
      </c>
      <c r="C22" s="242">
        <f t="shared" si="0"/>
        <v>17</v>
      </c>
      <c r="D22" s="243">
        <f t="shared" si="1"/>
        <v>0.000668812368287308</v>
      </c>
      <c r="E22" s="243">
        <v>0.00396533228935358</v>
      </c>
      <c r="F22" s="242">
        <f t="shared" si="2"/>
        <v>10</v>
      </c>
      <c r="G22" s="248">
        <v>61.73</v>
      </c>
      <c r="H22" s="242">
        <f t="shared" si="3"/>
        <v>17</v>
      </c>
      <c r="I22" s="243">
        <f t="shared" si="4"/>
        <v>0.000699356315755128</v>
      </c>
      <c r="J22" s="246">
        <v>-0.0085126887247029</v>
      </c>
      <c r="K22" s="242">
        <f t="shared" si="5"/>
        <v>6</v>
      </c>
      <c r="L22" s="248">
        <v>94.77</v>
      </c>
      <c r="M22" s="242">
        <f t="shared" si="6"/>
        <v>17</v>
      </c>
      <c r="N22" s="243">
        <f t="shared" si="7"/>
        <v>0.00245255977677747</v>
      </c>
      <c r="O22" s="246">
        <v>-0.000843437005798586</v>
      </c>
      <c r="P22" s="242">
        <f t="shared" si="8"/>
        <v>6</v>
      </c>
      <c r="Q22" s="248">
        <v>2.2843026879084</v>
      </c>
      <c r="R22" s="242">
        <f t="shared" si="9"/>
        <v>17</v>
      </c>
      <c r="S22" s="243">
        <f t="shared" si="10"/>
        <v>8.65847008697275e-5</v>
      </c>
      <c r="T22" s="246">
        <v>1.18143284518313</v>
      </c>
      <c r="U22" s="242">
        <f t="shared" si="11"/>
        <v>10</v>
      </c>
      <c r="V22" s="94"/>
      <c r="W22" s="245"/>
      <c r="X22" s="94"/>
      <c r="Y22" s="245"/>
    </row>
    <row r="23" ht="40" customHeight="1" spans="1:25">
      <c r="A23" s="114" t="s">
        <v>257</v>
      </c>
    </row>
    <row r="24" ht="19.05" customHeight="1" spans="1:25">
      <c r="A24" s="233" t="s">
        <v>258</v>
      </c>
    </row>
    <row r="25" ht="22.05" customHeight="1" spans="1:25">
      <c r="A25" s="234"/>
      <c r="B25" s="235" t="s">
        <v>259</v>
      </c>
      <c r="C25" s="236"/>
      <c r="D25" s="237"/>
      <c r="E25" s="237"/>
      <c r="F25" s="238"/>
      <c r="G25" s="235" t="s">
        <v>260</v>
      </c>
      <c r="H25" s="236"/>
      <c r="I25" s="237"/>
      <c r="J25" s="237"/>
      <c r="K25" s="238"/>
      <c r="L25" s="235" t="s">
        <v>261</v>
      </c>
      <c r="M25" s="236"/>
      <c r="N25" s="237"/>
      <c r="O25" s="237"/>
      <c r="P25" s="238"/>
      <c r="Q25" s="235" t="s">
        <v>262</v>
      </c>
      <c r="R25" s="236"/>
      <c r="S25" s="237"/>
      <c r="T25" s="237"/>
      <c r="U25" s="238"/>
      <c r="V25" s="235" t="s">
        <v>263</v>
      </c>
      <c r="W25" s="239"/>
      <c r="X25" s="235" t="s">
        <v>264</v>
      </c>
      <c r="Y25" s="239"/>
    </row>
    <row r="26" s="121" customFormat="1" ht="34.95" customHeight="1" spans="1:25">
      <c r="A26" s="29"/>
      <c r="B26" s="240" t="s">
        <v>265</v>
      </c>
      <c r="C26" s="240" t="s">
        <v>123</v>
      </c>
      <c r="D26" s="240" t="s">
        <v>251</v>
      </c>
      <c r="E26" s="240" t="s">
        <v>252</v>
      </c>
      <c r="F26" s="240" t="s">
        <v>126</v>
      </c>
      <c r="G26" s="240" t="s">
        <v>253</v>
      </c>
      <c r="H26" s="240" t="s">
        <v>123</v>
      </c>
      <c r="I26" s="240" t="s">
        <v>251</v>
      </c>
      <c r="J26" s="240" t="s">
        <v>252</v>
      </c>
      <c r="K26" s="240" t="s">
        <v>126</v>
      </c>
      <c r="L26" s="240" t="s">
        <v>254</v>
      </c>
      <c r="M26" s="240" t="s">
        <v>123</v>
      </c>
      <c r="N26" s="240" t="s">
        <v>251</v>
      </c>
      <c r="O26" s="240" t="s">
        <v>252</v>
      </c>
      <c r="P26" s="240" t="s">
        <v>126</v>
      </c>
      <c r="Q26" s="240" t="s">
        <v>266</v>
      </c>
      <c r="R26" s="240" t="s">
        <v>123</v>
      </c>
      <c r="S26" s="240" t="s">
        <v>251</v>
      </c>
      <c r="T26" s="240" t="s">
        <v>252</v>
      </c>
      <c r="U26" s="240" t="s">
        <v>126</v>
      </c>
      <c r="V26" s="240" t="s">
        <v>255</v>
      </c>
      <c r="W26" s="240" t="s">
        <v>252</v>
      </c>
      <c r="X26" s="240" t="s">
        <v>256</v>
      </c>
      <c r="Y26" s="240" t="s">
        <v>252</v>
      </c>
    </row>
    <row r="27" s="232" customFormat="1" ht="24" customHeight="1" spans="1:25">
      <c r="A27" s="82" t="s">
        <v>80</v>
      </c>
      <c r="B27" s="241">
        <f>G27+L27+Q27+V27+X27</f>
        <v>1479655.1</v>
      </c>
      <c r="C27" s="242"/>
      <c r="D27" s="243"/>
      <c r="E27" s="243">
        <v>0.00332824595148429</v>
      </c>
      <c r="F27" s="244"/>
      <c r="G27" s="241">
        <v>455112.93</v>
      </c>
      <c r="H27" s="125"/>
      <c r="I27" s="245"/>
      <c r="J27" s="246">
        <v>-0.0236527820921856</v>
      </c>
      <c r="K27" s="244"/>
      <c r="L27" s="241">
        <v>197337.47</v>
      </c>
      <c r="M27" s="125"/>
      <c r="N27" s="245"/>
      <c r="O27" s="246">
        <v>-0.117090218841305</v>
      </c>
      <c r="P27" s="244"/>
      <c r="Q27" s="241">
        <v>134778.36</v>
      </c>
      <c r="R27" s="125"/>
      <c r="S27" s="245"/>
      <c r="T27" s="246">
        <v>0.435343882887805</v>
      </c>
      <c r="U27" s="244"/>
      <c r="V27" s="241">
        <v>691291.09</v>
      </c>
      <c r="W27" s="247">
        <v>0.00184530022268969</v>
      </c>
      <c r="X27" s="241">
        <v>1135.25</v>
      </c>
      <c r="Y27" s="247">
        <v>-0.0402012174501183</v>
      </c>
    </row>
    <row r="28" s="232" customFormat="1" ht="25.05" customHeight="1" spans="1:25">
      <c r="A28" s="90" t="s">
        <v>127</v>
      </c>
      <c r="B28" s="241">
        <v>999709.841339062</v>
      </c>
      <c r="C28" s="242">
        <f t="shared" ref="C28:C44" si="12">RANK(B28,B$28:B$44)</f>
        <v>1</v>
      </c>
      <c r="D28" s="243">
        <f t="shared" ref="D28:D44" si="13">B28/B$27</f>
        <v>0.675637073355177</v>
      </c>
      <c r="E28" s="243">
        <v>-0.0158571124903273</v>
      </c>
      <c r="F28" s="242">
        <f t="shared" ref="F28:F44" si="14">RANK(E28,E$28:E$44)</f>
        <v>14</v>
      </c>
      <c r="G28" s="248">
        <v>171705.17</v>
      </c>
      <c r="H28" s="242">
        <f t="shared" ref="H28:H44" si="15">RANK(G28,G$28:G$44)</f>
        <v>1</v>
      </c>
      <c r="I28" s="243">
        <f t="shared" ref="I28:I44" si="16">G28/G$27</f>
        <v>0.377280359843874</v>
      </c>
      <c r="J28" s="246">
        <v>-0.0402077135909539</v>
      </c>
      <c r="K28" s="242">
        <f t="shared" ref="K28:K44" si="17">RANK(J28,J$28:J$44)</f>
        <v>14</v>
      </c>
      <c r="L28" s="248">
        <v>62150.39</v>
      </c>
      <c r="M28" s="242">
        <f t="shared" ref="M28:M44" si="18">RANK(L28,L$28:L$44)</f>
        <v>1</v>
      </c>
      <c r="N28" s="243">
        <f t="shared" ref="N28:N44" si="19">L28/L$27</f>
        <v>0.314944698541032</v>
      </c>
      <c r="O28" s="246">
        <v>-0.23670861979608</v>
      </c>
      <c r="P28" s="242">
        <f t="shared" ref="P28:P44" si="20">RANK(O28,O$28:O$44)</f>
        <v>15</v>
      </c>
      <c r="Q28" s="248">
        <v>76711.731339062</v>
      </c>
      <c r="R28" s="242">
        <f t="shared" ref="R28:R44" si="21">RANK(Q28,Q$28:Q$44)</f>
        <v>1</v>
      </c>
      <c r="S28" s="243">
        <f t="shared" ref="S28:S44" si="22">Q28/Q$27</f>
        <v>0.56916949678763</v>
      </c>
      <c r="T28" s="246">
        <v>0.128422882101988</v>
      </c>
      <c r="U28" s="242">
        <f t="shared" ref="U28:U44" si="23">RANK(T28,T$28:T$44)</f>
        <v>17</v>
      </c>
      <c r="V28" s="94">
        <v>688007.3</v>
      </c>
      <c r="W28" s="247">
        <v>0.00244218843921029</v>
      </c>
      <c r="X28" s="241">
        <v>1135.25</v>
      </c>
      <c r="Y28" s="247">
        <v>-0.0402012174501183</v>
      </c>
    </row>
    <row r="29" s="232" customFormat="1" ht="20.4" customHeight="1" spans="1:25">
      <c r="A29" s="90" t="s">
        <v>128</v>
      </c>
      <c r="B29" s="241">
        <v>49353.5340152763</v>
      </c>
      <c r="C29" s="242">
        <f t="shared" si="12"/>
        <v>6</v>
      </c>
      <c r="D29" s="243">
        <f t="shared" si="13"/>
        <v>0.0333547554529946</v>
      </c>
      <c r="E29" s="243">
        <v>0.0150073068952834</v>
      </c>
      <c r="F29" s="242">
        <f t="shared" si="14"/>
        <v>12</v>
      </c>
      <c r="G29" s="248">
        <v>34939.03</v>
      </c>
      <c r="H29" s="242">
        <f t="shared" si="15"/>
        <v>4</v>
      </c>
      <c r="I29" s="243">
        <f t="shared" si="16"/>
        <v>0.0767700227721502</v>
      </c>
      <c r="J29" s="246">
        <v>0.0530566616875654</v>
      </c>
      <c r="K29" s="242">
        <f t="shared" si="17"/>
        <v>3</v>
      </c>
      <c r="L29" s="248">
        <v>8410.02</v>
      </c>
      <c r="M29" s="242">
        <f t="shared" si="18"/>
        <v>9</v>
      </c>
      <c r="N29" s="243">
        <f t="shared" si="19"/>
        <v>0.0426174512118758</v>
      </c>
      <c r="O29" s="246">
        <v>-0.16220340975428</v>
      </c>
      <c r="P29" s="242">
        <f t="shared" si="20"/>
        <v>13</v>
      </c>
      <c r="Q29" s="248">
        <v>2720.69401527623</v>
      </c>
      <c r="R29" s="242">
        <f t="shared" si="21"/>
        <v>9</v>
      </c>
      <c r="S29" s="243">
        <f t="shared" si="22"/>
        <v>0.0201864306352758</v>
      </c>
      <c r="T29" s="246">
        <v>0.581586062968983</v>
      </c>
      <c r="U29" s="242">
        <f t="shared" si="23"/>
        <v>15</v>
      </c>
      <c r="V29" s="94">
        <v>3283.79</v>
      </c>
      <c r="W29" s="247">
        <v>-0.109275358387696</v>
      </c>
      <c r="X29" s="94"/>
      <c r="Y29" s="249"/>
    </row>
    <row r="30" s="232" customFormat="1" ht="20.4" customHeight="1" spans="1:25">
      <c r="A30" s="90" t="s">
        <v>129</v>
      </c>
      <c r="B30" s="241">
        <v>61867.6809566974</v>
      </c>
      <c r="C30" s="242">
        <f t="shared" si="12"/>
        <v>3</v>
      </c>
      <c r="D30" s="243">
        <f t="shared" si="13"/>
        <v>0.0418122310778352</v>
      </c>
      <c r="E30" s="243">
        <v>0.160592643359058</v>
      </c>
      <c r="F30" s="242">
        <f t="shared" si="14"/>
        <v>4</v>
      </c>
      <c r="G30" s="248">
        <v>40059.46</v>
      </c>
      <c r="H30" s="242">
        <f t="shared" si="15"/>
        <v>3</v>
      </c>
      <c r="I30" s="243">
        <f t="shared" si="16"/>
        <v>0.0880209226312247</v>
      </c>
      <c r="J30" s="246">
        <v>-0.0128917192178725</v>
      </c>
      <c r="K30" s="242">
        <f t="shared" si="17"/>
        <v>10</v>
      </c>
      <c r="L30" s="248">
        <v>12592.21</v>
      </c>
      <c r="M30" s="242">
        <f t="shared" si="18"/>
        <v>5</v>
      </c>
      <c r="N30" s="243">
        <f t="shared" si="19"/>
        <v>0.0638105373500532</v>
      </c>
      <c r="O30" s="246">
        <v>0.234949306333325</v>
      </c>
      <c r="P30" s="242">
        <f t="shared" si="20"/>
        <v>2</v>
      </c>
      <c r="Q30" s="248">
        <v>9216.0109566974</v>
      </c>
      <c r="R30" s="242">
        <f t="shared" si="21"/>
        <v>2</v>
      </c>
      <c r="S30" s="243">
        <f t="shared" si="22"/>
        <v>0.0683790109680619</v>
      </c>
      <c r="T30" s="246">
        <v>2.64587217443501</v>
      </c>
      <c r="U30" s="242">
        <f t="shared" si="23"/>
        <v>5</v>
      </c>
      <c r="V30" s="94"/>
      <c r="W30" s="245"/>
      <c r="X30" s="94"/>
      <c r="Y30" s="249"/>
    </row>
    <row r="31" s="232" customFormat="1" ht="20.4" customHeight="1" spans="1:25">
      <c r="A31" s="90" t="s">
        <v>130</v>
      </c>
      <c r="B31" s="241">
        <v>56055.5026038361</v>
      </c>
      <c r="C31" s="242">
        <f t="shared" si="12"/>
        <v>4</v>
      </c>
      <c r="D31" s="243">
        <f t="shared" si="13"/>
        <v>0.0378841681442088</v>
      </c>
      <c r="E31" s="243">
        <v>0.11511563428627</v>
      </c>
      <c r="F31" s="242">
        <f t="shared" si="14"/>
        <v>6</v>
      </c>
      <c r="G31" s="248">
        <v>21884.52</v>
      </c>
      <c r="H31" s="242">
        <f t="shared" si="15"/>
        <v>7</v>
      </c>
      <c r="I31" s="243">
        <f t="shared" si="16"/>
        <v>0.0480859113363358</v>
      </c>
      <c r="J31" s="246">
        <v>-0.0140327149183254</v>
      </c>
      <c r="K31" s="242">
        <f t="shared" si="17"/>
        <v>11</v>
      </c>
      <c r="L31" s="248">
        <v>24976.04</v>
      </c>
      <c r="M31" s="242">
        <f t="shared" si="18"/>
        <v>2</v>
      </c>
      <c r="N31" s="243">
        <f t="shared" si="19"/>
        <v>0.126565117106244</v>
      </c>
      <c r="O31" s="246">
        <v>0.111189018394918</v>
      </c>
      <c r="P31" s="242">
        <f t="shared" si="20"/>
        <v>4</v>
      </c>
      <c r="Q31" s="248">
        <v>9194.94260383606</v>
      </c>
      <c r="R31" s="242">
        <f t="shared" si="21"/>
        <v>3</v>
      </c>
      <c r="S31" s="243">
        <f t="shared" si="22"/>
        <v>0.0682226924547536</v>
      </c>
      <c r="T31" s="246">
        <v>0.643148224284877</v>
      </c>
      <c r="U31" s="242">
        <f t="shared" si="23"/>
        <v>12</v>
      </c>
      <c r="V31" s="94"/>
      <c r="W31" s="245"/>
      <c r="X31" s="94"/>
      <c r="Y31" s="249"/>
    </row>
    <row r="32" s="232" customFormat="1" ht="20.4" customHeight="1" spans="1:25">
      <c r="A32" s="90" t="s">
        <v>131</v>
      </c>
      <c r="B32" s="241">
        <v>64371.2654343187</v>
      </c>
      <c r="C32" s="242">
        <f t="shared" si="12"/>
        <v>2</v>
      </c>
      <c r="D32" s="243">
        <f t="shared" si="13"/>
        <v>0.0435042365172253</v>
      </c>
      <c r="E32" s="243">
        <v>-0.0968431058866787</v>
      </c>
      <c r="F32" s="242">
        <f t="shared" si="14"/>
        <v>17</v>
      </c>
      <c r="G32" s="248">
        <v>44024.18</v>
      </c>
      <c r="H32" s="242">
        <f t="shared" si="15"/>
        <v>2</v>
      </c>
      <c r="I32" s="243">
        <f t="shared" si="16"/>
        <v>0.0967324307837178</v>
      </c>
      <c r="J32" s="246">
        <v>-0.178070340192801</v>
      </c>
      <c r="K32" s="242">
        <f t="shared" si="17"/>
        <v>16</v>
      </c>
      <c r="L32" s="248">
        <v>11614.11</v>
      </c>
      <c r="M32" s="242">
        <f t="shared" si="18"/>
        <v>6</v>
      </c>
      <c r="N32" s="243">
        <f t="shared" si="19"/>
        <v>0.0588540534141843</v>
      </c>
      <c r="O32" s="246">
        <v>-0.0571738212754902</v>
      </c>
      <c r="P32" s="242">
        <f t="shared" si="20"/>
        <v>9</v>
      </c>
      <c r="Q32" s="248">
        <v>8732.97543431871</v>
      </c>
      <c r="R32" s="242">
        <f t="shared" si="21"/>
        <v>4</v>
      </c>
      <c r="S32" s="243">
        <f t="shared" si="22"/>
        <v>0.0647950860532708</v>
      </c>
      <c r="T32" s="246">
        <v>0.619243343661352</v>
      </c>
      <c r="U32" s="242">
        <f t="shared" si="23"/>
        <v>13</v>
      </c>
      <c r="V32" s="94"/>
      <c r="W32" s="245"/>
      <c r="X32" s="94"/>
      <c r="Y32" s="249"/>
    </row>
    <row r="33" s="232" customFormat="1" ht="20.4" customHeight="1" spans="1:25">
      <c r="A33" s="90" t="s">
        <v>132</v>
      </c>
      <c r="B33" s="241">
        <v>11058.2626616794</v>
      </c>
      <c r="C33" s="242">
        <f t="shared" si="12"/>
        <v>13</v>
      </c>
      <c r="D33" s="243">
        <f t="shared" si="13"/>
        <v>0.00747354073370166</v>
      </c>
      <c r="E33" s="243">
        <v>-0.0907196141837506</v>
      </c>
      <c r="F33" s="242">
        <f t="shared" si="14"/>
        <v>16</v>
      </c>
      <c r="G33" s="248">
        <v>8300.17</v>
      </c>
      <c r="H33" s="242">
        <f t="shared" si="15"/>
        <v>12</v>
      </c>
      <c r="I33" s="243">
        <f t="shared" si="16"/>
        <v>0.0182376053345705</v>
      </c>
      <c r="J33" s="246">
        <v>0.00406820749672776</v>
      </c>
      <c r="K33" s="242">
        <f t="shared" si="17"/>
        <v>7</v>
      </c>
      <c r="L33" s="248">
        <v>1564.87</v>
      </c>
      <c r="M33" s="242">
        <f t="shared" si="18"/>
        <v>14</v>
      </c>
      <c r="N33" s="243">
        <f t="shared" si="19"/>
        <v>0.00792991822586962</v>
      </c>
      <c r="O33" s="246">
        <v>-0.50371058690702</v>
      </c>
      <c r="P33" s="242">
        <f t="shared" si="20"/>
        <v>17</v>
      </c>
      <c r="Q33" s="248">
        <v>1193.22266167941</v>
      </c>
      <c r="R33" s="242">
        <f t="shared" si="21"/>
        <v>14</v>
      </c>
      <c r="S33" s="243">
        <f t="shared" si="22"/>
        <v>0.00885322140497488</v>
      </c>
      <c r="T33" s="246">
        <v>0.608389563618661</v>
      </c>
      <c r="U33" s="242">
        <f t="shared" si="23"/>
        <v>14</v>
      </c>
      <c r="V33" s="94"/>
      <c r="W33" s="245"/>
      <c r="X33" s="94"/>
      <c r="Y33" s="249"/>
    </row>
    <row r="34" s="232" customFormat="1" ht="20.4" customHeight="1" spans="1:25">
      <c r="A34" s="90" t="s">
        <v>133</v>
      </c>
      <c r="B34" s="241">
        <v>30120.0263754238</v>
      </c>
      <c r="C34" s="242">
        <f t="shared" si="12"/>
        <v>9</v>
      </c>
      <c r="D34" s="243">
        <f t="shared" si="13"/>
        <v>0.020356112972154</v>
      </c>
      <c r="E34" s="243">
        <v>-0.000198983517025075</v>
      </c>
      <c r="F34" s="242">
        <f t="shared" si="14"/>
        <v>13</v>
      </c>
      <c r="G34" s="248">
        <v>19769.22</v>
      </c>
      <c r="H34" s="242">
        <f t="shared" si="15"/>
        <v>8</v>
      </c>
      <c r="I34" s="243">
        <f t="shared" si="16"/>
        <v>0.0434380539353167</v>
      </c>
      <c r="J34" s="246">
        <v>-0.0384040671713662</v>
      </c>
      <c r="K34" s="242">
        <f t="shared" si="17"/>
        <v>12</v>
      </c>
      <c r="L34" s="248">
        <v>7632.24</v>
      </c>
      <c r="M34" s="242">
        <f t="shared" si="18"/>
        <v>10</v>
      </c>
      <c r="N34" s="243">
        <f t="shared" si="19"/>
        <v>0.0386760811314749</v>
      </c>
      <c r="O34" s="246">
        <v>-0.120300231905172</v>
      </c>
      <c r="P34" s="242">
        <f t="shared" si="20"/>
        <v>12</v>
      </c>
      <c r="Q34" s="248">
        <v>2718.56637542381</v>
      </c>
      <c r="R34" s="242">
        <f t="shared" si="21"/>
        <v>10</v>
      </c>
      <c r="S34" s="243">
        <f t="shared" si="22"/>
        <v>0.0201706444226196</v>
      </c>
      <c r="T34" s="246">
        <v>2.05011046379816</v>
      </c>
      <c r="U34" s="242">
        <f t="shared" si="23"/>
        <v>8</v>
      </c>
      <c r="V34" s="94"/>
      <c r="W34" s="245"/>
      <c r="X34" s="94"/>
      <c r="Y34" s="249"/>
    </row>
    <row r="35" ht="20.4" customHeight="1" spans="1:25">
      <c r="A35" s="90" t="s">
        <v>134</v>
      </c>
      <c r="B35" s="241">
        <v>23865.1775350381</v>
      </c>
      <c r="C35" s="242">
        <f t="shared" si="12"/>
        <v>11</v>
      </c>
      <c r="D35" s="243">
        <f t="shared" si="13"/>
        <v>0.0161288786387031</v>
      </c>
      <c r="E35" s="243">
        <v>0.13402760334792</v>
      </c>
      <c r="F35" s="242">
        <f t="shared" si="14"/>
        <v>5</v>
      </c>
      <c r="G35" s="248">
        <v>11987.88</v>
      </c>
      <c r="H35" s="242">
        <f t="shared" si="15"/>
        <v>11</v>
      </c>
      <c r="I35" s="243">
        <f t="shared" si="16"/>
        <v>0.0263404513688504</v>
      </c>
      <c r="J35" s="246">
        <v>0.0640164805270076</v>
      </c>
      <c r="K35" s="242">
        <f t="shared" si="17"/>
        <v>2</v>
      </c>
      <c r="L35" s="248">
        <v>9253.82</v>
      </c>
      <c r="M35" s="242">
        <f t="shared" si="18"/>
        <v>8</v>
      </c>
      <c r="N35" s="243">
        <f t="shared" si="19"/>
        <v>0.0468933750898904</v>
      </c>
      <c r="O35" s="246">
        <v>0.0362156230404016</v>
      </c>
      <c r="P35" s="242">
        <f t="shared" si="20"/>
        <v>7</v>
      </c>
      <c r="Q35" s="248">
        <v>2623.47753503811</v>
      </c>
      <c r="R35" s="242">
        <f t="shared" si="21"/>
        <v>11</v>
      </c>
      <c r="S35" s="243">
        <f t="shared" si="22"/>
        <v>0.0194651243347828</v>
      </c>
      <c r="T35" s="246">
        <v>2.09522789758691</v>
      </c>
      <c r="U35" s="242">
        <f t="shared" si="23"/>
        <v>7</v>
      </c>
      <c r="V35" s="94"/>
      <c r="W35" s="245"/>
      <c r="X35" s="94"/>
      <c r="Y35" s="245"/>
    </row>
    <row r="36" ht="20.4" customHeight="1" spans="1:25">
      <c r="A36" s="90" t="s">
        <v>135</v>
      </c>
      <c r="B36" s="241">
        <v>50505.7512477196</v>
      </c>
      <c r="C36" s="242">
        <f t="shared" si="12"/>
        <v>5</v>
      </c>
      <c r="D36" s="243">
        <f t="shared" si="13"/>
        <v>0.0341334620802642</v>
      </c>
      <c r="E36" s="243">
        <v>-0.0309702479847204</v>
      </c>
      <c r="F36" s="242">
        <f t="shared" si="14"/>
        <v>15</v>
      </c>
      <c r="G36" s="248">
        <v>29201.12</v>
      </c>
      <c r="H36" s="242">
        <f t="shared" si="15"/>
        <v>5</v>
      </c>
      <c r="I36" s="243">
        <f t="shared" si="16"/>
        <v>0.0641623607573619</v>
      </c>
      <c r="J36" s="246">
        <v>0.00471924679224722</v>
      </c>
      <c r="K36" s="242">
        <f t="shared" si="17"/>
        <v>6</v>
      </c>
      <c r="L36" s="248">
        <v>17501.57</v>
      </c>
      <c r="M36" s="242">
        <f t="shared" si="18"/>
        <v>3</v>
      </c>
      <c r="N36" s="243">
        <f t="shared" si="19"/>
        <v>0.0886885293502547</v>
      </c>
      <c r="O36" s="246">
        <v>-0.164096933131843</v>
      </c>
      <c r="P36" s="242">
        <f t="shared" si="20"/>
        <v>14</v>
      </c>
      <c r="Q36" s="248">
        <v>3803.06124771957</v>
      </c>
      <c r="R36" s="242">
        <f t="shared" si="21"/>
        <v>6</v>
      </c>
      <c r="S36" s="243">
        <f t="shared" si="22"/>
        <v>0.0282171503475749</v>
      </c>
      <c r="T36" s="246">
        <v>0.795050020986155</v>
      </c>
      <c r="U36" s="242">
        <f t="shared" si="23"/>
        <v>11</v>
      </c>
      <c r="V36" s="94"/>
      <c r="W36" s="245"/>
      <c r="X36" s="94"/>
      <c r="Y36" s="245"/>
    </row>
    <row r="37" ht="20.4" customHeight="1" spans="1:25">
      <c r="A37" s="90" t="s">
        <v>136</v>
      </c>
      <c r="B37" s="241">
        <v>37823.5331745128</v>
      </c>
      <c r="C37" s="242">
        <f t="shared" si="12"/>
        <v>7</v>
      </c>
      <c r="D37" s="243">
        <f t="shared" si="13"/>
        <v>0.0255623984092731</v>
      </c>
      <c r="E37" s="243">
        <v>0.16796068156782</v>
      </c>
      <c r="F37" s="242">
        <f t="shared" si="14"/>
        <v>2</v>
      </c>
      <c r="G37" s="248">
        <v>24356.07</v>
      </c>
      <c r="H37" s="242">
        <f t="shared" si="15"/>
        <v>6</v>
      </c>
      <c r="I37" s="243">
        <f t="shared" si="16"/>
        <v>0.0535165414878457</v>
      </c>
      <c r="J37" s="246">
        <v>0.416254785573734</v>
      </c>
      <c r="K37" s="242">
        <f t="shared" si="17"/>
        <v>1</v>
      </c>
      <c r="L37" s="248">
        <v>9807.43</v>
      </c>
      <c r="M37" s="242">
        <f t="shared" si="18"/>
        <v>7</v>
      </c>
      <c r="N37" s="243">
        <f t="shared" si="19"/>
        <v>0.0496987723618834</v>
      </c>
      <c r="O37" s="246">
        <v>-0.285932088253089</v>
      </c>
      <c r="P37" s="242">
        <f t="shared" si="20"/>
        <v>16</v>
      </c>
      <c r="Q37" s="248">
        <v>3660.03317451275</v>
      </c>
      <c r="R37" s="242">
        <f t="shared" si="21"/>
        <v>7</v>
      </c>
      <c r="S37" s="243">
        <f t="shared" si="22"/>
        <v>0.0271559408684951</v>
      </c>
      <c r="T37" s="246">
        <v>1.5204373125261</v>
      </c>
      <c r="U37" s="242">
        <f t="shared" si="23"/>
        <v>10</v>
      </c>
      <c r="V37" s="94"/>
      <c r="W37" s="245"/>
      <c r="X37" s="94"/>
      <c r="Y37" s="245"/>
    </row>
    <row r="38" ht="20.4" customHeight="1" spans="1:25">
      <c r="A38" s="90" t="s">
        <v>137</v>
      </c>
      <c r="B38" s="241">
        <v>27016.3314951346</v>
      </c>
      <c r="C38" s="242">
        <f t="shared" si="12"/>
        <v>10</v>
      </c>
      <c r="D38" s="243">
        <f t="shared" si="13"/>
        <v>0.0182585330156566</v>
      </c>
      <c r="E38" s="243">
        <v>0.0486876038563513</v>
      </c>
      <c r="F38" s="242">
        <f t="shared" si="14"/>
        <v>9</v>
      </c>
      <c r="G38" s="248">
        <v>17800.74</v>
      </c>
      <c r="H38" s="242">
        <f t="shared" si="15"/>
        <v>9</v>
      </c>
      <c r="I38" s="243">
        <f t="shared" si="16"/>
        <v>0.0391127977840577</v>
      </c>
      <c r="J38" s="246">
        <v>0.00195654841444148</v>
      </c>
      <c r="K38" s="242">
        <f t="shared" si="17"/>
        <v>8</v>
      </c>
      <c r="L38" s="248">
        <v>6295.47</v>
      </c>
      <c r="M38" s="242">
        <f t="shared" si="18"/>
        <v>11</v>
      </c>
      <c r="N38" s="243">
        <f t="shared" si="19"/>
        <v>0.0319020508370762</v>
      </c>
      <c r="O38" s="246">
        <v>0.039559768159976</v>
      </c>
      <c r="P38" s="242">
        <f t="shared" si="20"/>
        <v>6</v>
      </c>
      <c r="Q38" s="248">
        <v>2920.1214951346</v>
      </c>
      <c r="R38" s="242">
        <f t="shared" si="21"/>
        <v>8</v>
      </c>
      <c r="S38" s="243">
        <f t="shared" si="22"/>
        <v>0.0216661005159478</v>
      </c>
      <c r="T38" s="246">
        <v>0.505093506169116</v>
      </c>
      <c r="U38" s="242">
        <f t="shared" si="23"/>
        <v>16</v>
      </c>
      <c r="V38" s="94"/>
      <c r="W38" s="245"/>
      <c r="X38" s="94"/>
      <c r="Y38" s="245"/>
    </row>
    <row r="39" ht="20.4" customHeight="1" spans="1:25">
      <c r="A39" s="90" t="s">
        <v>138</v>
      </c>
      <c r="B39" s="241">
        <v>12268.8644180873</v>
      </c>
      <c r="C39" s="242">
        <f t="shared" si="12"/>
        <v>12</v>
      </c>
      <c r="D39" s="243">
        <f t="shared" si="13"/>
        <v>0.00829170555900987</v>
      </c>
      <c r="E39" s="243">
        <v>0.16310722416837</v>
      </c>
      <c r="F39" s="242">
        <f t="shared" si="14"/>
        <v>3</v>
      </c>
      <c r="G39" s="248">
        <v>4908.07</v>
      </c>
      <c r="H39" s="242">
        <f t="shared" si="15"/>
        <v>14</v>
      </c>
      <c r="I39" s="243">
        <f t="shared" si="16"/>
        <v>0.0107842903957925</v>
      </c>
      <c r="J39" s="246">
        <v>-0.0398604804932871</v>
      </c>
      <c r="K39" s="242">
        <f t="shared" si="17"/>
        <v>13</v>
      </c>
      <c r="L39" s="248">
        <v>5277.03</v>
      </c>
      <c r="M39" s="242">
        <f t="shared" si="18"/>
        <v>12</v>
      </c>
      <c r="N39" s="243">
        <f t="shared" si="19"/>
        <v>0.0267411455107841</v>
      </c>
      <c r="O39" s="246">
        <v>0.0446316689662816</v>
      </c>
      <c r="P39" s="242">
        <f t="shared" si="20"/>
        <v>5</v>
      </c>
      <c r="Q39" s="248">
        <v>2083.76441808724</v>
      </c>
      <c r="R39" s="242">
        <f t="shared" si="21"/>
        <v>12</v>
      </c>
      <c r="S39" s="243">
        <f t="shared" si="22"/>
        <v>0.0154606749784405</v>
      </c>
      <c r="T39" s="246">
        <v>4.41304993954034</v>
      </c>
      <c r="U39" s="242">
        <f t="shared" si="23"/>
        <v>3</v>
      </c>
      <c r="V39" s="94"/>
      <c r="W39" s="245"/>
      <c r="X39" s="94"/>
      <c r="Y39" s="245"/>
    </row>
    <row r="40" ht="20.4" customHeight="1" spans="1:25">
      <c r="A40" s="90" t="s">
        <v>147</v>
      </c>
      <c r="B40" s="241">
        <v>36958.8130338658</v>
      </c>
      <c r="C40" s="242">
        <f t="shared" si="12"/>
        <v>8</v>
      </c>
      <c r="D40" s="243">
        <f t="shared" si="13"/>
        <v>0.0249779918535514</v>
      </c>
      <c r="E40" s="243">
        <v>0.1008772879413</v>
      </c>
      <c r="F40" s="242">
        <f t="shared" si="14"/>
        <v>7</v>
      </c>
      <c r="G40" s="248">
        <v>16131.31</v>
      </c>
      <c r="H40" s="242">
        <f t="shared" si="15"/>
        <v>10</v>
      </c>
      <c r="I40" s="243">
        <f t="shared" si="16"/>
        <v>0.0354446312918422</v>
      </c>
      <c r="J40" s="246">
        <v>0.0233096462414664</v>
      </c>
      <c r="K40" s="242">
        <f t="shared" si="17"/>
        <v>4</v>
      </c>
      <c r="L40" s="248">
        <v>14944.87</v>
      </c>
      <c r="M40" s="242">
        <f t="shared" si="18"/>
        <v>4</v>
      </c>
      <c r="N40" s="243">
        <f t="shared" si="19"/>
        <v>0.075732550944329</v>
      </c>
      <c r="O40" s="246">
        <v>-0.0640298110194306</v>
      </c>
      <c r="P40" s="242">
        <f t="shared" si="20"/>
        <v>10</v>
      </c>
      <c r="Q40" s="248">
        <v>5882.6330338658</v>
      </c>
      <c r="R40" s="242">
        <f t="shared" si="21"/>
        <v>5</v>
      </c>
      <c r="S40" s="243">
        <f t="shared" si="22"/>
        <v>0.0436467177213449</v>
      </c>
      <c r="T40" s="246">
        <v>2.19528409456984</v>
      </c>
      <c r="U40" s="242">
        <f t="shared" si="23"/>
        <v>6</v>
      </c>
      <c r="V40" s="94"/>
      <c r="W40" s="245"/>
      <c r="X40" s="94"/>
      <c r="Y40" s="245"/>
    </row>
    <row r="41" ht="20.4" customHeight="1" spans="1:25">
      <c r="A41" s="90" t="s">
        <v>107</v>
      </c>
      <c r="B41" s="241">
        <v>10312.8238288576</v>
      </c>
      <c r="C41" s="242">
        <f t="shared" si="12"/>
        <v>14</v>
      </c>
      <c r="D41" s="243">
        <f t="shared" si="13"/>
        <v>0.00696974844263207</v>
      </c>
      <c r="E41" s="243">
        <v>0.0171221658763365</v>
      </c>
      <c r="F41" s="242">
        <f t="shared" si="14"/>
        <v>11</v>
      </c>
      <c r="G41" s="248">
        <v>5999.33</v>
      </c>
      <c r="H41" s="242">
        <f t="shared" si="15"/>
        <v>13</v>
      </c>
      <c r="I41" s="243">
        <f t="shared" si="16"/>
        <v>0.0131820688988116</v>
      </c>
      <c r="J41" s="246">
        <v>-0.303183760510033</v>
      </c>
      <c r="K41" s="242">
        <f t="shared" si="17"/>
        <v>17</v>
      </c>
      <c r="L41" s="248">
        <v>2236.9</v>
      </c>
      <c r="M41" s="242">
        <f t="shared" si="18"/>
        <v>13</v>
      </c>
      <c r="N41" s="243">
        <f t="shared" si="19"/>
        <v>0.0113354042696504</v>
      </c>
      <c r="O41" s="246">
        <v>0.679203074798066</v>
      </c>
      <c r="P41" s="242">
        <f t="shared" si="20"/>
        <v>1</v>
      </c>
      <c r="Q41" s="248">
        <v>2076.59382885758</v>
      </c>
      <c r="R41" s="242">
        <f t="shared" si="21"/>
        <v>13</v>
      </c>
      <c r="S41" s="243">
        <f t="shared" si="22"/>
        <v>0.0154074721554527</v>
      </c>
      <c r="T41" s="246">
        <v>9.51607911185569</v>
      </c>
      <c r="U41" s="242">
        <f t="shared" si="23"/>
        <v>1</v>
      </c>
      <c r="V41" s="94"/>
      <c r="W41" s="245"/>
      <c r="X41" s="94"/>
      <c r="Y41" s="245"/>
    </row>
    <row r="42" ht="20.4" customHeight="1" spans="1:25">
      <c r="A42" s="90" t="s">
        <v>109</v>
      </c>
      <c r="B42" s="241">
        <v>3793.22835348279</v>
      </c>
      <c r="C42" s="242">
        <f t="shared" si="12"/>
        <v>15</v>
      </c>
      <c r="D42" s="243">
        <f t="shared" si="13"/>
        <v>0.00256358955102631</v>
      </c>
      <c r="E42" s="243">
        <v>0.0358448370623321</v>
      </c>
      <c r="F42" s="242">
        <f t="shared" si="14"/>
        <v>10</v>
      </c>
      <c r="G42" s="248">
        <v>1904.34</v>
      </c>
      <c r="H42" s="242">
        <f t="shared" si="15"/>
        <v>15</v>
      </c>
      <c r="I42" s="243">
        <f t="shared" si="16"/>
        <v>0.004184324097318</v>
      </c>
      <c r="J42" s="246">
        <v>-0.0475776080661375</v>
      </c>
      <c r="K42" s="242">
        <f t="shared" si="17"/>
        <v>15</v>
      </c>
      <c r="L42" s="248">
        <v>1406.26</v>
      </c>
      <c r="M42" s="242">
        <f t="shared" si="18"/>
        <v>15</v>
      </c>
      <c r="N42" s="243">
        <f t="shared" si="19"/>
        <v>0.00712616818285954</v>
      </c>
      <c r="O42" s="246">
        <v>-0.0847104614002772</v>
      </c>
      <c r="P42" s="242">
        <f t="shared" si="20"/>
        <v>11</v>
      </c>
      <c r="Q42" s="248">
        <v>482.628353482787</v>
      </c>
      <c r="R42" s="242">
        <f t="shared" si="21"/>
        <v>16</v>
      </c>
      <c r="S42" s="243">
        <f t="shared" si="22"/>
        <v>0.00358090388904263</v>
      </c>
      <c r="T42" s="246">
        <v>2.8277776325159</v>
      </c>
      <c r="U42" s="242">
        <f t="shared" si="23"/>
        <v>4</v>
      </c>
      <c r="V42" s="94"/>
      <c r="W42" s="245"/>
      <c r="X42" s="94"/>
      <c r="Y42" s="245"/>
    </row>
    <row r="43" ht="20.4" customHeight="1" spans="1:25">
      <c r="A43" s="90" t="s">
        <v>111</v>
      </c>
      <c r="B43" s="241">
        <v>3725.08120222041</v>
      </c>
      <c r="C43" s="242">
        <f t="shared" si="12"/>
        <v>16</v>
      </c>
      <c r="D43" s="243">
        <f t="shared" si="13"/>
        <v>0.00251753344561203</v>
      </c>
      <c r="E43" s="243">
        <v>0.188500081686578</v>
      </c>
      <c r="F43" s="242">
        <f t="shared" si="14"/>
        <v>1</v>
      </c>
      <c r="G43" s="248">
        <v>1679.34</v>
      </c>
      <c r="H43" s="242">
        <f t="shared" si="15"/>
        <v>16</v>
      </c>
      <c r="I43" s="243">
        <f t="shared" si="16"/>
        <v>0.00368994130753437</v>
      </c>
      <c r="J43" s="246">
        <v>0.0179607324923774</v>
      </c>
      <c r="K43" s="242">
        <f t="shared" si="17"/>
        <v>5</v>
      </c>
      <c r="L43" s="248">
        <v>1295.16</v>
      </c>
      <c r="M43" s="242">
        <f t="shared" si="18"/>
        <v>16</v>
      </c>
      <c r="N43" s="243">
        <f t="shared" si="19"/>
        <v>0.00656317322807473</v>
      </c>
      <c r="O43" s="246">
        <v>-0.0386068573379752</v>
      </c>
      <c r="P43" s="242">
        <f t="shared" si="20"/>
        <v>8</v>
      </c>
      <c r="Q43" s="248">
        <v>750.581202220412</v>
      </c>
      <c r="R43" s="242">
        <f t="shared" si="21"/>
        <v>15</v>
      </c>
      <c r="S43" s="243">
        <f t="shared" si="22"/>
        <v>0.00556900382391069</v>
      </c>
      <c r="T43" s="246">
        <v>4.46310772447579</v>
      </c>
      <c r="U43" s="242">
        <f t="shared" si="23"/>
        <v>2</v>
      </c>
      <c r="V43" s="94"/>
      <c r="W43" s="245"/>
      <c r="X43" s="94"/>
      <c r="Y43" s="245"/>
    </row>
    <row r="44" ht="20.4" customHeight="1" spans="1:25">
      <c r="A44" s="90" t="s">
        <v>112</v>
      </c>
      <c r="B44" s="241">
        <v>849.382324787586</v>
      </c>
      <c r="C44" s="242">
        <f t="shared" si="12"/>
        <v>17</v>
      </c>
      <c r="D44" s="243">
        <f t="shared" si="13"/>
        <v>0.000574040750974728</v>
      </c>
      <c r="E44" s="243">
        <v>0.0598112364996946</v>
      </c>
      <c r="F44" s="242">
        <f t="shared" si="14"/>
        <v>8</v>
      </c>
      <c r="G44" s="248">
        <v>462.98</v>
      </c>
      <c r="H44" s="242">
        <f t="shared" si="15"/>
        <v>17</v>
      </c>
      <c r="I44" s="243">
        <f t="shared" si="16"/>
        <v>0.00101728597339566</v>
      </c>
      <c r="J44" s="246">
        <v>-0.00852321397978417</v>
      </c>
      <c r="K44" s="242">
        <f t="shared" si="17"/>
        <v>9</v>
      </c>
      <c r="L44" s="248">
        <v>379.08</v>
      </c>
      <c r="M44" s="242">
        <f t="shared" si="18"/>
        <v>17</v>
      </c>
      <c r="N44" s="243">
        <f t="shared" si="19"/>
        <v>0.0019209732444629</v>
      </c>
      <c r="O44" s="246">
        <v>0.141841621735594</v>
      </c>
      <c r="P44" s="242">
        <f t="shared" si="20"/>
        <v>3</v>
      </c>
      <c r="Q44" s="248">
        <v>7.32232478758586</v>
      </c>
      <c r="R44" s="242">
        <f t="shared" si="21"/>
        <v>17</v>
      </c>
      <c r="S44" s="243">
        <f t="shared" si="22"/>
        <v>5.4328638422265e-5</v>
      </c>
      <c r="T44" s="246">
        <v>1.93268298455894</v>
      </c>
      <c r="U44" s="242">
        <f t="shared" si="23"/>
        <v>9</v>
      </c>
      <c r="V44" s="94"/>
      <c r="W44" s="245"/>
      <c r="X44" s="94"/>
      <c r="Y44" s="245"/>
    </row>
    <row r="45" ht="27" customHeight="1" spans="1:25">
      <c r="A45" s="114" t="s">
        <v>267</v>
      </c>
    </row>
    <row r="46" ht="19.05" customHeight="1" spans="1:25">
      <c r="A46" s="233" t="s">
        <v>243</v>
      </c>
    </row>
    <row r="47" ht="19.05" customHeight="1" spans="1:25">
      <c r="A47" s="234"/>
      <c r="B47" s="235" t="s">
        <v>244</v>
      </c>
      <c r="C47" s="236"/>
      <c r="D47" s="237"/>
      <c r="E47" s="237"/>
      <c r="F47" s="238"/>
      <c r="G47" s="235" t="s">
        <v>245</v>
      </c>
      <c r="H47" s="236"/>
      <c r="I47" s="237"/>
      <c r="J47" s="237"/>
      <c r="K47" s="238"/>
      <c r="L47" s="235" t="s">
        <v>246</v>
      </c>
      <c r="M47" s="236"/>
      <c r="N47" s="237"/>
      <c r="O47" s="237"/>
      <c r="P47" s="238"/>
      <c r="Q47" s="235" t="s">
        <v>247</v>
      </c>
      <c r="R47" s="236"/>
      <c r="S47" s="237"/>
      <c r="T47" s="237"/>
      <c r="U47" s="238"/>
      <c r="V47" s="235" t="s">
        <v>248</v>
      </c>
      <c r="W47" s="239"/>
      <c r="X47" s="235" t="s">
        <v>249</v>
      </c>
      <c r="Y47" s="239"/>
    </row>
    <row r="48" s="121" customFormat="1" ht="33" customHeight="1" spans="1:25">
      <c r="A48" s="29"/>
      <c r="B48" s="240" t="s">
        <v>250</v>
      </c>
      <c r="C48" s="240" t="s">
        <v>123</v>
      </c>
      <c r="D48" s="240" t="s">
        <v>251</v>
      </c>
      <c r="E48" s="240" t="s">
        <v>252</v>
      </c>
      <c r="F48" s="240" t="s">
        <v>126</v>
      </c>
      <c r="G48" s="240" t="s">
        <v>253</v>
      </c>
      <c r="H48" s="240" t="s">
        <v>123</v>
      </c>
      <c r="I48" s="240" t="s">
        <v>251</v>
      </c>
      <c r="J48" s="240" t="s">
        <v>252</v>
      </c>
      <c r="K48" s="240" t="s">
        <v>126</v>
      </c>
      <c r="L48" s="240" t="s">
        <v>254</v>
      </c>
      <c r="M48" s="240" t="s">
        <v>123</v>
      </c>
      <c r="N48" s="240" t="s">
        <v>251</v>
      </c>
      <c r="O48" s="240" t="s">
        <v>252</v>
      </c>
      <c r="P48" s="240" t="s">
        <v>126</v>
      </c>
      <c r="Q48" s="240" t="s">
        <v>254</v>
      </c>
      <c r="R48" s="240" t="s">
        <v>123</v>
      </c>
      <c r="S48" s="240" t="s">
        <v>251</v>
      </c>
      <c r="T48" s="240" t="s">
        <v>252</v>
      </c>
      <c r="U48" s="240" t="s">
        <v>126</v>
      </c>
      <c r="V48" s="240" t="s">
        <v>255</v>
      </c>
      <c r="W48" s="240" t="s">
        <v>252</v>
      </c>
      <c r="X48" s="240" t="s">
        <v>256</v>
      </c>
      <c r="Y48" s="240" t="s">
        <v>252</v>
      </c>
    </row>
    <row r="49" s="232" customFormat="1" ht="24" customHeight="1" spans="1:25">
      <c r="A49" s="82" t="s">
        <v>80</v>
      </c>
      <c r="B49" s="241">
        <f>G49+L49+Q49+V49+X49</f>
        <v>33068.03</v>
      </c>
      <c r="C49" s="242"/>
      <c r="D49" s="243"/>
      <c r="E49" s="243">
        <v>0.0390093161359244</v>
      </c>
      <c r="F49" s="244"/>
      <c r="G49" s="241">
        <f>SUM(G50:G66)</f>
        <v>11508.07</v>
      </c>
      <c r="H49" s="125"/>
      <c r="I49" s="245"/>
      <c r="J49" s="246">
        <v>-0.00540679288854617</v>
      </c>
      <c r="K49" s="244"/>
      <c r="L49" s="241">
        <f>SUM(L50:L66)</f>
        <v>5351.24</v>
      </c>
      <c r="M49" s="125"/>
      <c r="N49" s="245"/>
      <c r="O49" s="246">
        <v>-0.0751623707687681</v>
      </c>
      <c r="P49" s="244"/>
      <c r="Q49" s="241">
        <f>SUM(Q50:Q66)</f>
        <v>4430.84</v>
      </c>
      <c r="R49" s="125"/>
      <c r="S49" s="245"/>
      <c r="T49" s="246">
        <v>0.601651231555581</v>
      </c>
      <c r="U49" s="244"/>
      <c r="V49" s="241">
        <v>11731.83</v>
      </c>
      <c r="W49" s="247">
        <v>0.00633989596771989</v>
      </c>
      <c r="X49" s="241">
        <v>46.05</v>
      </c>
      <c r="Y49" s="247">
        <v>0.0145406477197621</v>
      </c>
    </row>
    <row r="50" s="232" customFormat="1" ht="25.05" customHeight="1" spans="1:25">
      <c r="A50" s="90" t="s">
        <v>127</v>
      </c>
      <c r="B50" s="241">
        <v>18865.2275355819</v>
      </c>
      <c r="C50" s="242">
        <f t="shared" ref="C50:C66" si="24">RANK(B50,B$50:B$66)</f>
        <v>1</v>
      </c>
      <c r="D50" s="243">
        <f t="shared" ref="D50:D66" si="25">B50/B$49</f>
        <v>0.570497472500838</v>
      </c>
      <c r="E50" s="243">
        <v>0.014768056245404</v>
      </c>
      <c r="F50" s="242">
        <f t="shared" ref="F50:F66" si="26">RANK(E50,E$50:E$66)</f>
        <v>14</v>
      </c>
      <c r="G50" s="248">
        <v>4198.33</v>
      </c>
      <c r="H50" s="242">
        <f t="shared" ref="H50:H66" si="27">RANK(G50,G$50:G$66)</f>
        <v>1</v>
      </c>
      <c r="I50" s="243">
        <f t="shared" ref="I50:I66" si="28">G50/G$49</f>
        <v>0.36481616813245</v>
      </c>
      <c r="J50" s="246">
        <v>0.0126999671947665</v>
      </c>
      <c r="K50" s="242">
        <f t="shared" ref="K50:K66" si="29">RANK(J50,J$50:J$66)</f>
        <v>5</v>
      </c>
      <c r="L50" s="248">
        <v>1093.91</v>
      </c>
      <c r="M50" s="242">
        <f t="shared" ref="M50:M66" si="30">RANK(L50,L$50:L$66)</f>
        <v>1</v>
      </c>
      <c r="N50" s="243">
        <f t="shared" ref="N50:N66" si="31">L50/L$49</f>
        <v>0.204421778877419</v>
      </c>
      <c r="O50" s="246">
        <v>-0.180763585165658</v>
      </c>
      <c r="P50" s="242">
        <f t="shared" ref="P50:P66" si="32">RANK(O50,O$50:O$66)</f>
        <v>16</v>
      </c>
      <c r="Q50" s="248">
        <v>1825.19753558188</v>
      </c>
      <c r="R50" s="242">
        <f t="shared" ref="R50:R66" si="33">RANK(Q50,Q$50:Q$66)</f>
        <v>1</v>
      </c>
      <c r="S50" s="243">
        <f t="shared" ref="S50:S66" si="34">Q50/Q$49</f>
        <v>0.411930364351202</v>
      </c>
      <c r="T50" s="246">
        <v>0.268899949420779</v>
      </c>
      <c r="U50" s="242">
        <f t="shared" ref="U50:U66" si="35">RANK(T50,T$50:T$66)</f>
        <v>16</v>
      </c>
      <c r="V50" s="94">
        <v>11701.74</v>
      </c>
      <c r="W50" s="247">
        <v>0.00652163441688924</v>
      </c>
      <c r="X50" s="241">
        <v>46.05</v>
      </c>
      <c r="Y50" s="247">
        <v>0.0145406477197621</v>
      </c>
    </row>
    <row r="51" s="232" customFormat="1" ht="20.4" customHeight="1" spans="1:25">
      <c r="A51" s="90" t="s">
        <v>128</v>
      </c>
      <c r="B51" s="241">
        <v>1235.39496364158</v>
      </c>
      <c r="C51" s="242">
        <f t="shared" si="24"/>
        <v>6</v>
      </c>
      <c r="D51" s="243">
        <f t="shared" si="25"/>
        <v>0.0373591944739851</v>
      </c>
      <c r="E51" s="243">
        <v>-0.0403117110382984</v>
      </c>
      <c r="F51" s="242">
        <f t="shared" si="26"/>
        <v>16</v>
      </c>
      <c r="G51" s="248">
        <v>806.39</v>
      </c>
      <c r="H51" s="242">
        <f t="shared" si="27"/>
        <v>5</v>
      </c>
      <c r="I51" s="243">
        <f t="shared" si="28"/>
        <v>0.0700716975131364</v>
      </c>
      <c r="J51" s="246">
        <v>-0.0670885490177932</v>
      </c>
      <c r="K51" s="242">
        <f t="shared" si="29"/>
        <v>15</v>
      </c>
      <c r="L51" s="248">
        <v>258.57</v>
      </c>
      <c r="M51" s="242">
        <f t="shared" si="30"/>
        <v>10</v>
      </c>
      <c r="N51" s="243">
        <f t="shared" si="31"/>
        <v>0.0483196418026476</v>
      </c>
      <c r="O51" s="246">
        <v>-0.120121142001565</v>
      </c>
      <c r="P51" s="242">
        <f t="shared" si="32"/>
        <v>15</v>
      </c>
      <c r="Q51" s="248">
        <v>140.344963641575</v>
      </c>
      <c r="R51" s="242">
        <f t="shared" si="33"/>
        <v>9</v>
      </c>
      <c r="S51" s="243">
        <f t="shared" si="34"/>
        <v>0.0316745726863473</v>
      </c>
      <c r="T51" s="246">
        <v>0.446292660124999</v>
      </c>
      <c r="U51" s="242">
        <f t="shared" si="35"/>
        <v>14</v>
      </c>
      <c r="V51" s="94">
        <v>30.09</v>
      </c>
      <c r="W51" s="247">
        <v>-0.0596875</v>
      </c>
      <c r="X51" s="94"/>
      <c r="Y51" s="249"/>
    </row>
    <row r="52" s="232" customFormat="1" ht="20.4" customHeight="1" spans="1:25">
      <c r="A52" s="90" t="s">
        <v>129</v>
      </c>
      <c r="B52" s="241">
        <v>1745.10767586834</v>
      </c>
      <c r="C52" s="242">
        <f t="shared" si="24"/>
        <v>4</v>
      </c>
      <c r="D52" s="243">
        <f t="shared" si="25"/>
        <v>0.0527732579131065</v>
      </c>
      <c r="E52" s="243">
        <v>0.0997167233325953</v>
      </c>
      <c r="F52" s="242">
        <f t="shared" si="26"/>
        <v>6</v>
      </c>
      <c r="G52" s="248">
        <v>1111.97</v>
      </c>
      <c r="H52" s="242">
        <f t="shared" si="27"/>
        <v>3</v>
      </c>
      <c r="I52" s="243">
        <f t="shared" si="28"/>
        <v>0.0966252377679316</v>
      </c>
      <c r="J52" s="246">
        <v>-0.0132312224904161</v>
      </c>
      <c r="K52" s="242">
        <f t="shared" si="29"/>
        <v>11</v>
      </c>
      <c r="L52" s="248">
        <v>298.7</v>
      </c>
      <c r="M52" s="242">
        <f t="shared" si="30"/>
        <v>8</v>
      </c>
      <c r="N52" s="243">
        <f t="shared" si="31"/>
        <v>0.0558188382505737</v>
      </c>
      <c r="O52" s="246">
        <v>-0.0970101877323983</v>
      </c>
      <c r="P52" s="242">
        <f t="shared" si="32"/>
        <v>12</v>
      </c>
      <c r="Q52" s="248">
        <v>334.437675868343</v>
      </c>
      <c r="R52" s="242">
        <f t="shared" si="33"/>
        <v>3</v>
      </c>
      <c r="S52" s="243">
        <f t="shared" si="34"/>
        <v>0.0754795198807321</v>
      </c>
      <c r="T52" s="246">
        <v>1.58852327548804</v>
      </c>
      <c r="U52" s="242">
        <f t="shared" si="35"/>
        <v>5</v>
      </c>
      <c r="V52" s="94"/>
      <c r="W52" s="245"/>
      <c r="X52" s="94"/>
      <c r="Y52" s="249"/>
    </row>
    <row r="53" s="232" customFormat="1" ht="20.4" customHeight="1" spans="1:25">
      <c r="A53" s="90" t="s">
        <v>130</v>
      </c>
      <c r="B53" s="241">
        <v>2164.99483260279</v>
      </c>
      <c r="C53" s="242">
        <f t="shared" si="24"/>
        <v>2</v>
      </c>
      <c r="D53" s="243">
        <f t="shared" si="25"/>
        <v>0.0654709346944101</v>
      </c>
      <c r="E53" s="243">
        <v>0.183178781339669</v>
      </c>
      <c r="F53" s="242">
        <f t="shared" si="26"/>
        <v>4</v>
      </c>
      <c r="G53" s="248">
        <v>957.12</v>
      </c>
      <c r="H53" s="242">
        <f t="shared" si="27"/>
        <v>4</v>
      </c>
      <c r="I53" s="243">
        <f t="shared" si="28"/>
        <v>0.0831694628204382</v>
      </c>
      <c r="J53" s="246">
        <v>0.0321690086165063</v>
      </c>
      <c r="K53" s="242">
        <f t="shared" si="29"/>
        <v>4</v>
      </c>
      <c r="L53" s="248">
        <v>763.19</v>
      </c>
      <c r="M53" s="242">
        <f t="shared" si="30"/>
        <v>2</v>
      </c>
      <c r="N53" s="243">
        <f t="shared" si="31"/>
        <v>0.142619280764832</v>
      </c>
      <c r="O53" s="246">
        <v>0.161345790979366</v>
      </c>
      <c r="P53" s="242">
        <f t="shared" si="32"/>
        <v>1</v>
      </c>
      <c r="Q53" s="248">
        <v>444.684832602794</v>
      </c>
      <c r="R53" s="242">
        <f t="shared" si="33"/>
        <v>2</v>
      </c>
      <c r="S53" s="243">
        <f t="shared" si="34"/>
        <v>0.10036129325428</v>
      </c>
      <c r="T53" s="246">
        <v>0.812361648791682</v>
      </c>
      <c r="U53" s="242">
        <f t="shared" si="35"/>
        <v>11</v>
      </c>
      <c r="V53" s="94"/>
      <c r="W53" s="245"/>
      <c r="X53" s="94"/>
      <c r="Y53" s="249"/>
    </row>
    <row r="54" s="232" customFormat="1" ht="20.4" customHeight="1" spans="1:25">
      <c r="A54" s="90" t="s">
        <v>131</v>
      </c>
      <c r="B54" s="241">
        <v>1798.46072832929</v>
      </c>
      <c r="C54" s="242">
        <f t="shared" si="24"/>
        <v>3</v>
      </c>
      <c r="D54" s="243">
        <f t="shared" si="25"/>
        <v>0.0543866909619138</v>
      </c>
      <c r="E54" s="243">
        <v>0.0282629732313815</v>
      </c>
      <c r="F54" s="242">
        <f t="shared" si="26"/>
        <v>12</v>
      </c>
      <c r="G54" s="248">
        <v>1161.92</v>
      </c>
      <c r="H54" s="242">
        <f t="shared" si="27"/>
        <v>2</v>
      </c>
      <c r="I54" s="243">
        <f t="shared" si="28"/>
        <v>0.100965670177536</v>
      </c>
      <c r="J54" s="246">
        <v>-0.023260114829479</v>
      </c>
      <c r="K54" s="242">
        <f t="shared" si="29"/>
        <v>12</v>
      </c>
      <c r="L54" s="248">
        <v>315.13</v>
      </c>
      <c r="M54" s="242">
        <f t="shared" si="30"/>
        <v>6</v>
      </c>
      <c r="N54" s="243">
        <f t="shared" si="31"/>
        <v>0.0588891546632182</v>
      </c>
      <c r="O54" s="246">
        <v>-0.0274065615258788</v>
      </c>
      <c r="P54" s="242">
        <f t="shared" si="32"/>
        <v>7</v>
      </c>
      <c r="Q54" s="248">
        <v>321.410728329294</v>
      </c>
      <c r="R54" s="242">
        <f t="shared" si="33"/>
        <v>4</v>
      </c>
      <c r="S54" s="243">
        <f t="shared" si="34"/>
        <v>0.0725394571524348</v>
      </c>
      <c r="T54" s="246">
        <v>0.365218804044906</v>
      </c>
      <c r="U54" s="242">
        <f t="shared" si="35"/>
        <v>15</v>
      </c>
      <c r="V54" s="94"/>
      <c r="W54" s="245"/>
      <c r="X54" s="94"/>
      <c r="Y54" s="249"/>
    </row>
    <row r="55" s="232" customFormat="1" ht="20.4" customHeight="1" spans="1:25">
      <c r="A55" s="90" t="s">
        <v>132</v>
      </c>
      <c r="B55" s="241">
        <v>257.382622604331</v>
      </c>
      <c r="C55" s="242">
        <f t="shared" si="24"/>
        <v>13</v>
      </c>
      <c r="D55" s="243">
        <f t="shared" si="25"/>
        <v>0.00778342775799861</v>
      </c>
      <c r="E55" s="243">
        <v>-0.191863671836433</v>
      </c>
      <c r="F55" s="242">
        <f t="shared" si="26"/>
        <v>17</v>
      </c>
      <c r="G55" s="248">
        <v>174.76</v>
      </c>
      <c r="H55" s="242">
        <f t="shared" si="27"/>
        <v>12</v>
      </c>
      <c r="I55" s="243">
        <f t="shared" si="28"/>
        <v>0.0151858652232738</v>
      </c>
      <c r="J55" s="246">
        <v>0.0101150222530491</v>
      </c>
      <c r="K55" s="242">
        <f t="shared" si="29"/>
        <v>7</v>
      </c>
      <c r="L55" s="248">
        <v>34.02</v>
      </c>
      <c r="M55" s="242">
        <f t="shared" si="30"/>
        <v>16</v>
      </c>
      <c r="N55" s="243">
        <f t="shared" si="31"/>
        <v>0.00635740501266996</v>
      </c>
      <c r="O55" s="246">
        <v>-0.677045756597684</v>
      </c>
      <c r="P55" s="242">
        <f t="shared" si="32"/>
        <v>17</v>
      </c>
      <c r="Q55" s="248">
        <v>48.6026226043308</v>
      </c>
      <c r="R55" s="242">
        <f t="shared" si="33"/>
        <v>14</v>
      </c>
      <c r="S55" s="243">
        <f t="shared" si="34"/>
        <v>0.0109691667052592</v>
      </c>
      <c r="T55" s="246">
        <v>0.210854415445446</v>
      </c>
      <c r="U55" s="242">
        <f t="shared" si="35"/>
        <v>17</v>
      </c>
      <c r="V55" s="94"/>
      <c r="W55" s="245"/>
      <c r="X55" s="94"/>
      <c r="Y55" s="249"/>
    </row>
    <row r="56" s="232" customFormat="1" ht="20.4" customHeight="1" spans="1:25">
      <c r="A56" s="90" t="s">
        <v>133</v>
      </c>
      <c r="B56" s="241">
        <v>937.289360187212</v>
      </c>
      <c r="C56" s="242">
        <f t="shared" si="24"/>
        <v>8</v>
      </c>
      <c r="D56" s="243">
        <f t="shared" si="25"/>
        <v>0.0283442757305836</v>
      </c>
      <c r="E56" s="243">
        <v>0.0565357125915023</v>
      </c>
      <c r="F56" s="242">
        <f t="shared" si="26"/>
        <v>10</v>
      </c>
      <c r="G56" s="248">
        <v>528.59</v>
      </c>
      <c r="H56" s="242">
        <f t="shared" si="27"/>
        <v>7</v>
      </c>
      <c r="I56" s="243">
        <f t="shared" si="28"/>
        <v>0.0459321154633227</v>
      </c>
      <c r="J56" s="246">
        <v>-0.00136026147248291</v>
      </c>
      <c r="K56" s="242">
        <f t="shared" si="29"/>
        <v>10</v>
      </c>
      <c r="L56" s="248">
        <v>273.92</v>
      </c>
      <c r="M56" s="242">
        <f t="shared" si="30"/>
        <v>9</v>
      </c>
      <c r="N56" s="243">
        <f t="shared" si="31"/>
        <v>0.0511881358339376</v>
      </c>
      <c r="O56" s="246">
        <v>-0.087784734248035</v>
      </c>
      <c r="P56" s="242">
        <f t="shared" si="32"/>
        <v>11</v>
      </c>
      <c r="Q56" s="248">
        <v>134.779360187212</v>
      </c>
      <c r="R56" s="242">
        <f t="shared" si="33"/>
        <v>10</v>
      </c>
      <c r="S56" s="243">
        <f t="shared" si="34"/>
        <v>0.0304184669695164</v>
      </c>
      <c r="T56" s="246">
        <v>1.34217318617956</v>
      </c>
      <c r="U56" s="242">
        <f t="shared" si="35"/>
        <v>8</v>
      </c>
      <c r="V56" s="94"/>
      <c r="W56" s="245"/>
      <c r="X56" s="94"/>
      <c r="Y56" s="249"/>
    </row>
    <row r="57" ht="20.4" customHeight="1" spans="1:25">
      <c r="A57" s="90" t="s">
        <v>134</v>
      </c>
      <c r="B57" s="241">
        <v>831.393177808734</v>
      </c>
      <c r="C57" s="242">
        <f t="shared" si="24"/>
        <v>10</v>
      </c>
      <c r="D57" s="243">
        <f t="shared" si="25"/>
        <v>0.0251419022484476</v>
      </c>
      <c r="E57" s="243">
        <v>0.168260793069791</v>
      </c>
      <c r="F57" s="242">
        <f t="shared" si="26"/>
        <v>5</v>
      </c>
      <c r="G57" s="248">
        <v>286.19</v>
      </c>
      <c r="H57" s="242">
        <f t="shared" si="27"/>
        <v>11</v>
      </c>
      <c r="I57" s="243">
        <f t="shared" si="28"/>
        <v>0.0248686356617574</v>
      </c>
      <c r="J57" s="246">
        <v>0.0694293935204215</v>
      </c>
      <c r="K57" s="242">
        <f t="shared" si="29"/>
        <v>1</v>
      </c>
      <c r="L57" s="248">
        <v>386.28</v>
      </c>
      <c r="M57" s="242">
        <f t="shared" si="30"/>
        <v>5</v>
      </c>
      <c r="N57" s="243">
        <f t="shared" si="31"/>
        <v>0.0721851383978293</v>
      </c>
      <c r="O57" s="246">
        <v>0.0137518370774721</v>
      </c>
      <c r="P57" s="242">
        <f t="shared" si="32"/>
        <v>5</v>
      </c>
      <c r="Q57" s="248">
        <v>158.923177808734</v>
      </c>
      <c r="R57" s="242">
        <f t="shared" si="33"/>
        <v>8</v>
      </c>
      <c r="S57" s="243">
        <f t="shared" si="34"/>
        <v>0.0358675054411204</v>
      </c>
      <c r="T57" s="246">
        <v>1.52257694833781</v>
      </c>
      <c r="U57" s="242">
        <f t="shared" si="35"/>
        <v>6</v>
      </c>
      <c r="V57" s="94"/>
      <c r="W57" s="245"/>
      <c r="X57" s="94"/>
      <c r="Y57" s="245"/>
    </row>
    <row r="58" ht="20.4" customHeight="1" spans="1:25">
      <c r="A58" s="90" t="s">
        <v>135</v>
      </c>
      <c r="B58" s="241">
        <v>1525.49481874449</v>
      </c>
      <c r="C58" s="242">
        <f t="shared" si="24"/>
        <v>5</v>
      </c>
      <c r="D58" s="243">
        <f t="shared" si="25"/>
        <v>0.0461320138739589</v>
      </c>
      <c r="E58" s="243">
        <v>0.0289910625417689</v>
      </c>
      <c r="F58" s="242">
        <f t="shared" si="26"/>
        <v>11</v>
      </c>
      <c r="G58" s="248">
        <v>702.8</v>
      </c>
      <c r="H58" s="242">
        <f t="shared" si="27"/>
        <v>6</v>
      </c>
      <c r="I58" s="243">
        <f t="shared" si="28"/>
        <v>0.0610701881375417</v>
      </c>
      <c r="J58" s="246">
        <v>0.0342290372899314</v>
      </c>
      <c r="K58" s="242">
        <f t="shared" si="29"/>
        <v>3</v>
      </c>
      <c r="L58" s="248">
        <v>610.52</v>
      </c>
      <c r="M58" s="242">
        <f t="shared" si="30"/>
        <v>3</v>
      </c>
      <c r="N58" s="243">
        <f t="shared" si="31"/>
        <v>0.114089444689455</v>
      </c>
      <c r="O58" s="246">
        <v>-0.104809384164223</v>
      </c>
      <c r="P58" s="242">
        <f t="shared" si="32"/>
        <v>13</v>
      </c>
      <c r="Q58" s="248">
        <v>212.17481874449</v>
      </c>
      <c r="R58" s="242">
        <f t="shared" si="33"/>
        <v>6</v>
      </c>
      <c r="S58" s="243">
        <f t="shared" si="34"/>
        <v>0.0478859129971947</v>
      </c>
      <c r="T58" s="246">
        <v>0.753871386039042</v>
      </c>
      <c r="U58" s="242">
        <f t="shared" si="35"/>
        <v>12</v>
      </c>
      <c r="V58" s="94"/>
      <c r="W58" s="245"/>
      <c r="X58" s="94"/>
      <c r="Y58" s="245"/>
    </row>
    <row r="59" ht="20.4" customHeight="1" spans="1:25">
      <c r="A59" s="90" t="s">
        <v>136</v>
      </c>
      <c r="B59" s="241">
        <v>833.131153213417</v>
      </c>
      <c r="C59" s="242">
        <f t="shared" si="24"/>
        <v>9</v>
      </c>
      <c r="D59" s="243">
        <f t="shared" si="25"/>
        <v>0.0251944598215683</v>
      </c>
      <c r="E59" s="243">
        <v>0.0773519377130758</v>
      </c>
      <c r="F59" s="242">
        <f t="shared" si="26"/>
        <v>8</v>
      </c>
      <c r="G59" s="248">
        <v>359.88</v>
      </c>
      <c r="H59" s="242">
        <f t="shared" si="27"/>
        <v>10</v>
      </c>
      <c r="I59" s="243">
        <f t="shared" si="28"/>
        <v>0.0312719682796507</v>
      </c>
      <c r="J59" s="246">
        <v>0.000973493171640749</v>
      </c>
      <c r="K59" s="242">
        <f t="shared" si="29"/>
        <v>8</v>
      </c>
      <c r="L59" s="248">
        <v>312.65</v>
      </c>
      <c r="M59" s="242">
        <f t="shared" si="30"/>
        <v>7</v>
      </c>
      <c r="N59" s="243">
        <f t="shared" si="31"/>
        <v>0.058425710676404</v>
      </c>
      <c r="O59" s="246">
        <v>-0.0806845246846423</v>
      </c>
      <c r="P59" s="242">
        <f t="shared" si="32"/>
        <v>10</v>
      </c>
      <c r="Q59" s="248">
        <v>160.601153213417</v>
      </c>
      <c r="R59" s="242">
        <f t="shared" si="33"/>
        <v>7</v>
      </c>
      <c r="S59" s="243">
        <f t="shared" si="34"/>
        <v>0.0362462091191325</v>
      </c>
      <c r="T59" s="246">
        <v>1.17930257130297</v>
      </c>
      <c r="U59" s="242">
        <f t="shared" si="35"/>
        <v>10</v>
      </c>
      <c r="V59" s="94"/>
      <c r="W59" s="245"/>
      <c r="X59" s="94"/>
      <c r="Y59" s="245"/>
    </row>
    <row r="60" ht="20.4" customHeight="1" spans="1:25">
      <c r="A60" s="90" t="s">
        <v>137</v>
      </c>
      <c r="B60" s="241">
        <v>749.86003879499</v>
      </c>
      <c r="C60" s="242">
        <f t="shared" si="24"/>
        <v>11</v>
      </c>
      <c r="D60" s="243">
        <f t="shared" si="25"/>
        <v>0.0226762839756402</v>
      </c>
      <c r="E60" s="243">
        <v>0.0214499239214039</v>
      </c>
      <c r="F60" s="242">
        <f t="shared" si="26"/>
        <v>13</v>
      </c>
      <c r="G60" s="248">
        <v>445.83</v>
      </c>
      <c r="H60" s="242">
        <f t="shared" si="27"/>
        <v>8</v>
      </c>
      <c r="I60" s="243">
        <f t="shared" si="28"/>
        <v>0.0387406402637454</v>
      </c>
      <c r="J60" s="246">
        <v>-0.0507186202491217</v>
      </c>
      <c r="K60" s="242">
        <f t="shared" si="29"/>
        <v>14</v>
      </c>
      <c r="L60" s="248">
        <v>187.13</v>
      </c>
      <c r="M60" s="242">
        <f t="shared" si="30"/>
        <v>11</v>
      </c>
      <c r="N60" s="243">
        <f t="shared" si="31"/>
        <v>0.0349694650211913</v>
      </c>
      <c r="O60" s="246">
        <v>0.013760225364321</v>
      </c>
      <c r="P60" s="242">
        <f t="shared" si="32"/>
        <v>4</v>
      </c>
      <c r="Q60" s="248">
        <v>116.90003879499</v>
      </c>
      <c r="R60" s="242">
        <f t="shared" si="33"/>
        <v>11</v>
      </c>
      <c r="S60" s="243">
        <f t="shared" si="34"/>
        <v>0.0263832679119512</v>
      </c>
      <c r="T60" s="246">
        <v>0.463567256860843</v>
      </c>
      <c r="U60" s="242">
        <f t="shared" si="35"/>
        <v>13</v>
      </c>
      <c r="V60" s="94"/>
      <c r="W60" s="245"/>
      <c r="X60" s="94"/>
      <c r="Y60" s="245"/>
    </row>
    <row r="61" ht="20.4" customHeight="1" spans="1:25">
      <c r="A61" s="90" t="s">
        <v>138</v>
      </c>
      <c r="B61" s="241">
        <v>362.160798113747</v>
      </c>
      <c r="C61" s="242">
        <f t="shared" si="24"/>
        <v>12</v>
      </c>
      <c r="D61" s="243">
        <f t="shared" si="25"/>
        <v>0.0109519919424818</v>
      </c>
      <c r="E61" s="243">
        <v>0.217783892287224</v>
      </c>
      <c r="F61" s="242">
        <f t="shared" si="26"/>
        <v>2</v>
      </c>
      <c r="G61" s="248">
        <v>123.52</v>
      </c>
      <c r="H61" s="242">
        <f t="shared" si="27"/>
        <v>13</v>
      </c>
      <c r="I61" s="243">
        <f t="shared" si="28"/>
        <v>0.0107333375622498</v>
      </c>
      <c r="J61" s="246">
        <v>0.0114641336390435</v>
      </c>
      <c r="K61" s="242">
        <f t="shared" si="29"/>
        <v>6</v>
      </c>
      <c r="L61" s="248">
        <v>161.33</v>
      </c>
      <c r="M61" s="242">
        <f t="shared" si="30"/>
        <v>12</v>
      </c>
      <c r="N61" s="243">
        <f t="shared" si="31"/>
        <v>0.0301481525777203</v>
      </c>
      <c r="O61" s="246">
        <v>0.0538933890776066</v>
      </c>
      <c r="P61" s="242">
        <f t="shared" si="32"/>
        <v>3</v>
      </c>
      <c r="Q61" s="248">
        <v>77.3107981137469</v>
      </c>
      <c r="R61" s="242">
        <f t="shared" si="33"/>
        <v>12</v>
      </c>
      <c r="S61" s="243">
        <f t="shared" si="34"/>
        <v>0.0174483389410917</v>
      </c>
      <c r="T61" s="246">
        <v>2.48351614577355</v>
      </c>
      <c r="U61" s="242">
        <f t="shared" si="35"/>
        <v>3</v>
      </c>
      <c r="V61" s="94"/>
      <c r="W61" s="245"/>
      <c r="X61" s="94"/>
      <c r="Y61" s="245"/>
    </row>
    <row r="62" ht="20.4" customHeight="1" spans="1:25">
      <c r="A62" s="90" t="s">
        <v>147</v>
      </c>
      <c r="B62" s="241">
        <v>1143.76520422355</v>
      </c>
      <c r="C62" s="242">
        <f t="shared" si="24"/>
        <v>7</v>
      </c>
      <c r="D62" s="243">
        <f t="shared" si="25"/>
        <v>0.0345882474469615</v>
      </c>
      <c r="E62" s="243">
        <v>0.0812244188462292</v>
      </c>
      <c r="F62" s="242">
        <f t="shared" si="26"/>
        <v>7</v>
      </c>
      <c r="G62" s="248">
        <v>391.45</v>
      </c>
      <c r="H62" s="242">
        <f t="shared" si="27"/>
        <v>9</v>
      </c>
      <c r="I62" s="243">
        <f t="shared" si="28"/>
        <v>0.0340152605953909</v>
      </c>
      <c r="J62" s="246">
        <v>-0.125661700654441</v>
      </c>
      <c r="K62" s="242">
        <f t="shared" si="29"/>
        <v>17</v>
      </c>
      <c r="L62" s="248">
        <v>453.08</v>
      </c>
      <c r="M62" s="242">
        <f t="shared" si="30"/>
        <v>4</v>
      </c>
      <c r="N62" s="243">
        <f t="shared" si="31"/>
        <v>0.0846682264297621</v>
      </c>
      <c r="O62" s="246">
        <v>-0.0753469387755102</v>
      </c>
      <c r="P62" s="242">
        <f t="shared" si="32"/>
        <v>9</v>
      </c>
      <c r="Q62" s="248">
        <v>299.235204223548</v>
      </c>
      <c r="R62" s="242">
        <f t="shared" si="33"/>
        <v>5</v>
      </c>
      <c r="S62" s="243">
        <f t="shared" si="34"/>
        <v>0.067534644497104</v>
      </c>
      <c r="T62" s="246">
        <v>1.49087517159456</v>
      </c>
      <c r="U62" s="242">
        <f t="shared" si="35"/>
        <v>7</v>
      </c>
      <c r="V62" s="94"/>
      <c r="W62" s="245"/>
      <c r="X62" s="94"/>
      <c r="Y62" s="245"/>
    </row>
    <row r="63" ht="20.4" customHeight="1" spans="1:25">
      <c r="A63" s="90" t="s">
        <v>107</v>
      </c>
      <c r="B63" s="241">
        <v>249.641551338828</v>
      </c>
      <c r="C63" s="242">
        <f t="shared" si="24"/>
        <v>14</v>
      </c>
      <c r="D63" s="243">
        <f t="shared" si="25"/>
        <v>0.00754933243192376</v>
      </c>
      <c r="E63" s="243">
        <v>0.311167593404909</v>
      </c>
      <c r="F63" s="242">
        <f t="shared" si="26"/>
        <v>1</v>
      </c>
      <c r="G63" s="248">
        <v>115.16</v>
      </c>
      <c r="H63" s="242">
        <f t="shared" si="27"/>
        <v>14</v>
      </c>
      <c r="I63" s="243">
        <f t="shared" si="28"/>
        <v>0.0100068908166183</v>
      </c>
      <c r="J63" s="246">
        <v>-0.0233228733780002</v>
      </c>
      <c r="K63" s="242">
        <f t="shared" si="29"/>
        <v>13</v>
      </c>
      <c r="L63" s="248">
        <v>60.16</v>
      </c>
      <c r="M63" s="242">
        <f t="shared" si="30"/>
        <v>14</v>
      </c>
      <c r="N63" s="243">
        <f t="shared" si="31"/>
        <v>0.0112422541317526</v>
      </c>
      <c r="O63" s="246">
        <v>0.0781362007168458</v>
      </c>
      <c r="P63" s="242">
        <f t="shared" si="32"/>
        <v>2</v>
      </c>
      <c r="Q63" s="248">
        <v>74.3215513388278</v>
      </c>
      <c r="R63" s="242">
        <f t="shared" si="33"/>
        <v>13</v>
      </c>
      <c r="S63" s="243">
        <f t="shared" si="34"/>
        <v>0.0167736933265087</v>
      </c>
      <c r="T63" s="246">
        <v>3.45402730649406</v>
      </c>
      <c r="U63" s="242">
        <f t="shared" si="35"/>
        <v>1</v>
      </c>
      <c r="V63" s="94"/>
      <c r="W63" s="245"/>
      <c r="X63" s="94"/>
      <c r="Y63" s="245"/>
    </row>
    <row r="64" ht="20.4" customHeight="1" spans="1:25">
      <c r="A64" s="90" t="s">
        <v>109</v>
      </c>
      <c r="B64" s="241">
        <v>190.998942925756</v>
      </c>
      <c r="C64" s="242">
        <f t="shared" si="24"/>
        <v>15</v>
      </c>
      <c r="D64" s="243">
        <f t="shared" si="25"/>
        <v>0.00577593956839145</v>
      </c>
      <c r="E64" s="243">
        <v>0.0611520409713702</v>
      </c>
      <c r="F64" s="242">
        <f t="shared" si="26"/>
        <v>9</v>
      </c>
      <c r="G64" s="248">
        <v>76.36</v>
      </c>
      <c r="H64" s="242">
        <f t="shared" si="27"/>
        <v>15</v>
      </c>
      <c r="I64" s="243">
        <f t="shared" si="28"/>
        <v>0.00663534371966802</v>
      </c>
      <c r="J64" s="246">
        <v>-0.0986779981114259</v>
      </c>
      <c r="K64" s="242">
        <f t="shared" si="29"/>
        <v>16</v>
      </c>
      <c r="L64" s="248">
        <v>78.31</v>
      </c>
      <c r="M64" s="242">
        <f t="shared" si="30"/>
        <v>13</v>
      </c>
      <c r="N64" s="243">
        <f t="shared" si="31"/>
        <v>0.0146339913739619</v>
      </c>
      <c r="O64" s="246">
        <v>-0.0403186274509802</v>
      </c>
      <c r="P64" s="242">
        <f t="shared" si="32"/>
        <v>8</v>
      </c>
      <c r="Q64" s="248">
        <v>36.3289429257555</v>
      </c>
      <c r="R64" s="242">
        <f t="shared" si="33"/>
        <v>16</v>
      </c>
      <c r="S64" s="243">
        <f t="shared" si="34"/>
        <v>0.00819910963288124</v>
      </c>
      <c r="T64" s="246">
        <v>1.65716652618803</v>
      </c>
      <c r="U64" s="242">
        <f t="shared" si="35"/>
        <v>4</v>
      </c>
      <c r="V64" s="94"/>
      <c r="W64" s="245"/>
      <c r="X64" s="94"/>
      <c r="Y64" s="245"/>
    </row>
    <row r="65" ht="20.4" customHeight="1" spans="1:25">
      <c r="A65" s="90" t="s">
        <v>111</v>
      </c>
      <c r="B65" s="241">
        <v>153.827740628603</v>
      </c>
      <c r="C65" s="242">
        <f t="shared" si="24"/>
        <v>16</v>
      </c>
      <c r="D65" s="243">
        <f t="shared" si="25"/>
        <v>0.00465185681241378</v>
      </c>
      <c r="E65" s="243">
        <v>0.217473354763697</v>
      </c>
      <c r="F65" s="242">
        <f t="shared" si="26"/>
        <v>3</v>
      </c>
      <c r="G65" s="248">
        <v>58</v>
      </c>
      <c r="H65" s="242">
        <f t="shared" si="27"/>
        <v>16</v>
      </c>
      <c r="I65" s="243">
        <f t="shared" si="28"/>
        <v>0.00503994153667818</v>
      </c>
      <c r="J65" s="246">
        <v>0.0375670840787121</v>
      </c>
      <c r="K65" s="242">
        <f t="shared" si="29"/>
        <v>2</v>
      </c>
      <c r="L65" s="248">
        <v>50.71</v>
      </c>
      <c r="M65" s="242">
        <f t="shared" si="30"/>
        <v>15</v>
      </c>
      <c r="N65" s="243">
        <f t="shared" si="31"/>
        <v>0.00947630829489987</v>
      </c>
      <c r="O65" s="246">
        <v>-0.119465184927939</v>
      </c>
      <c r="P65" s="242">
        <f t="shared" si="32"/>
        <v>14</v>
      </c>
      <c r="Q65" s="248">
        <v>45.1177406286033</v>
      </c>
      <c r="R65" s="242">
        <f t="shared" si="33"/>
        <v>15</v>
      </c>
      <c r="S65" s="243">
        <f t="shared" si="34"/>
        <v>0.0101826607660406</v>
      </c>
      <c r="T65" s="246">
        <v>2.50838194140631</v>
      </c>
      <c r="U65" s="242">
        <f t="shared" si="35"/>
        <v>2</v>
      </c>
      <c r="V65" s="94"/>
      <c r="W65" s="245"/>
      <c r="X65" s="94"/>
      <c r="Y65" s="245"/>
    </row>
    <row r="66" ht="20.4" customHeight="1" spans="1:25">
      <c r="A66" s="90" t="s">
        <v>112</v>
      </c>
      <c r="B66" s="241">
        <v>23.8988553924558</v>
      </c>
      <c r="C66" s="242">
        <f t="shared" si="24"/>
        <v>17</v>
      </c>
      <c r="D66" s="243">
        <f t="shared" si="25"/>
        <v>0.000722717845376812</v>
      </c>
      <c r="E66" s="243">
        <v>0.0112909441467646</v>
      </c>
      <c r="F66" s="242">
        <f t="shared" si="26"/>
        <v>15</v>
      </c>
      <c r="G66" s="248">
        <v>9.8</v>
      </c>
      <c r="H66" s="242">
        <f t="shared" si="27"/>
        <v>17</v>
      </c>
      <c r="I66" s="243">
        <f t="shared" si="28"/>
        <v>0.00085157632861114</v>
      </c>
      <c r="J66" s="246">
        <v>0</v>
      </c>
      <c r="K66" s="242">
        <f t="shared" si="29"/>
        <v>9</v>
      </c>
      <c r="L66" s="248">
        <v>13.63</v>
      </c>
      <c r="M66" s="242">
        <f t="shared" si="30"/>
        <v>17</v>
      </c>
      <c r="N66" s="243">
        <f t="shared" si="31"/>
        <v>0.00254707320172521</v>
      </c>
      <c r="O66" s="246">
        <v>0.000734214390602173</v>
      </c>
      <c r="P66" s="242">
        <f t="shared" si="32"/>
        <v>6</v>
      </c>
      <c r="Q66" s="248">
        <v>0.468855392455781</v>
      </c>
      <c r="R66" s="242">
        <f t="shared" si="33"/>
        <v>17</v>
      </c>
      <c r="S66" s="243">
        <f t="shared" si="34"/>
        <v>0.000105816367202558</v>
      </c>
      <c r="T66" s="246">
        <v>1.21129530173007</v>
      </c>
      <c r="U66" s="242">
        <f t="shared" si="35"/>
        <v>9</v>
      </c>
      <c r="V66" s="94"/>
      <c r="W66" s="245"/>
      <c r="X66" s="94"/>
      <c r="Y66" s="245"/>
    </row>
    <row r="67" ht="27" customHeight="1" spans="1:25">
      <c r="A67" s="114" t="s">
        <v>268</v>
      </c>
    </row>
    <row r="68" ht="19.05" customHeight="1" spans="1:25">
      <c r="A68" s="233" t="s">
        <v>258</v>
      </c>
    </row>
    <row r="69" ht="22.05" customHeight="1" spans="1:25">
      <c r="A69" s="234"/>
      <c r="B69" s="235" t="s">
        <v>259</v>
      </c>
      <c r="C69" s="236"/>
      <c r="D69" s="237"/>
      <c r="E69" s="237"/>
      <c r="F69" s="238"/>
      <c r="G69" s="235" t="s">
        <v>260</v>
      </c>
      <c r="H69" s="236"/>
      <c r="I69" s="237"/>
      <c r="J69" s="237"/>
      <c r="K69" s="238"/>
      <c r="L69" s="235" t="s">
        <v>261</v>
      </c>
      <c r="M69" s="236"/>
      <c r="N69" s="237"/>
      <c r="O69" s="237"/>
      <c r="P69" s="238"/>
      <c r="Q69" s="235" t="s">
        <v>262</v>
      </c>
      <c r="R69" s="236"/>
      <c r="S69" s="237"/>
      <c r="T69" s="237"/>
      <c r="U69" s="238"/>
      <c r="V69" s="235" t="s">
        <v>263</v>
      </c>
      <c r="W69" s="239"/>
      <c r="X69" s="235" t="s">
        <v>264</v>
      </c>
      <c r="Y69" s="239"/>
    </row>
    <row r="70" s="121" customFormat="1" ht="34.95" customHeight="1" spans="1:25">
      <c r="A70" s="29"/>
      <c r="B70" s="240" t="s">
        <v>265</v>
      </c>
      <c r="C70" s="240" t="s">
        <v>123</v>
      </c>
      <c r="D70" s="240" t="s">
        <v>251</v>
      </c>
      <c r="E70" s="240" t="s">
        <v>252</v>
      </c>
      <c r="F70" s="240" t="s">
        <v>126</v>
      </c>
      <c r="G70" s="240" t="s">
        <v>253</v>
      </c>
      <c r="H70" s="240" t="s">
        <v>123</v>
      </c>
      <c r="I70" s="240" t="s">
        <v>251</v>
      </c>
      <c r="J70" s="240" t="s">
        <v>252</v>
      </c>
      <c r="K70" s="240" t="s">
        <v>126</v>
      </c>
      <c r="L70" s="240" t="s">
        <v>254</v>
      </c>
      <c r="M70" s="240" t="s">
        <v>123</v>
      </c>
      <c r="N70" s="240" t="s">
        <v>251</v>
      </c>
      <c r="O70" s="240" t="s">
        <v>252</v>
      </c>
      <c r="P70" s="240" t="s">
        <v>126</v>
      </c>
      <c r="Q70" s="240" t="s">
        <v>266</v>
      </c>
      <c r="R70" s="240" t="s">
        <v>123</v>
      </c>
      <c r="S70" s="240" t="s">
        <v>251</v>
      </c>
      <c r="T70" s="240" t="s">
        <v>252</v>
      </c>
      <c r="U70" s="240" t="s">
        <v>126</v>
      </c>
      <c r="V70" s="240" t="s">
        <v>255</v>
      </c>
      <c r="W70" s="240" t="s">
        <v>252</v>
      </c>
      <c r="X70" s="240" t="s">
        <v>256</v>
      </c>
      <c r="Y70" s="240" t="s">
        <v>252</v>
      </c>
    </row>
    <row r="71" s="232" customFormat="1" ht="24" customHeight="1" spans="1:25">
      <c r="A71" s="82" t="s">
        <v>80</v>
      </c>
      <c r="B71" s="241">
        <f>G71+L71+Q71+V71+X71</f>
        <v>206194.82</v>
      </c>
      <c r="C71" s="242"/>
      <c r="D71" s="243"/>
      <c r="E71" s="243">
        <v>0.0431576071144124</v>
      </c>
      <c r="F71" s="244"/>
      <c r="G71" s="241">
        <v>59265.28</v>
      </c>
      <c r="H71" s="125"/>
      <c r="I71" s="245"/>
      <c r="J71" s="246">
        <v>0.00847599093167162</v>
      </c>
      <c r="K71" s="244"/>
      <c r="L71" s="241">
        <v>27422.13</v>
      </c>
      <c r="M71" s="125"/>
      <c r="N71" s="245"/>
      <c r="O71" s="246">
        <v>-0.080404376023021</v>
      </c>
      <c r="P71" s="244"/>
      <c r="Q71" s="241">
        <v>22705.61</v>
      </c>
      <c r="R71" s="125"/>
      <c r="S71" s="245"/>
      <c r="T71" s="246">
        <v>0.592574823755344</v>
      </c>
      <c r="U71" s="244"/>
      <c r="V71" s="241">
        <v>96645.23</v>
      </c>
      <c r="W71" s="247">
        <v>0.0209110652256514</v>
      </c>
      <c r="X71" s="241">
        <v>156.57</v>
      </c>
      <c r="Y71" s="247">
        <v>0.0145143523618219</v>
      </c>
    </row>
    <row r="72" s="232" customFormat="1" ht="25.05" customHeight="1" spans="1:25">
      <c r="A72" s="90" t="s">
        <v>127</v>
      </c>
      <c r="B72" s="241">
        <v>139878.862868354</v>
      </c>
      <c r="C72" s="242">
        <f t="shared" ref="C72:C88" si="36">RANK(B72,B$72:B$88)</f>
        <v>1</v>
      </c>
      <c r="D72" s="243">
        <f t="shared" ref="D72:D88" si="37">B72/B$71</f>
        <v>0.678382041160656</v>
      </c>
      <c r="E72" s="243">
        <v>0.0224209435962228</v>
      </c>
      <c r="F72" s="242">
        <f t="shared" ref="F72:F88" si="38">RANK(E72,E$72:E$88)</f>
        <v>14</v>
      </c>
      <c r="G72" s="248">
        <v>21912.54</v>
      </c>
      <c r="H72" s="242">
        <f t="shared" ref="H72:H88" si="39">RANK(G72,G$72:G$88)</f>
        <v>1</v>
      </c>
      <c r="I72" s="243">
        <f t="shared" ref="I72:I88" si="40">G72/G$71</f>
        <v>0.369736547266798</v>
      </c>
      <c r="J72" s="246">
        <v>-0.000424234462070627</v>
      </c>
      <c r="K72" s="242">
        <f t="shared" ref="K72:K88" si="41">RANK(J72,J$72:J$88)</f>
        <v>11</v>
      </c>
      <c r="L72" s="248">
        <v>8532.5</v>
      </c>
      <c r="M72" s="242">
        <f t="shared" ref="M72:M88" si="42">RANK(L72,L$72:L$88)</f>
        <v>1</v>
      </c>
      <c r="N72" s="243">
        <f t="shared" ref="N72:N88" si="43">L72/L$71</f>
        <v>0.311153801692283</v>
      </c>
      <c r="O72" s="246">
        <v>-0.180763078506565</v>
      </c>
      <c r="P72" s="242">
        <f t="shared" ref="P72:P88" si="44">RANK(O72,O$72:O$88)</f>
        <v>16</v>
      </c>
      <c r="Q72" s="248">
        <v>13036.3928683541</v>
      </c>
      <c r="R72" s="242">
        <f t="shared" ref="R72:R88" si="45">RANK(Q72,Q$72:Q$88)</f>
        <v>1</v>
      </c>
      <c r="S72" s="243">
        <f t="shared" ref="S72:S88" si="46">Q72/Q$71</f>
        <v>0.574148541631521</v>
      </c>
      <c r="T72" s="246">
        <v>0.29272459344366</v>
      </c>
      <c r="U72" s="242">
        <f t="shared" ref="U72:U88" si="47">RANK(T72,T$72:T$88)</f>
        <v>17</v>
      </c>
      <c r="V72" s="94">
        <v>96240.86</v>
      </c>
      <c r="W72" s="247">
        <v>0.0212787858181893</v>
      </c>
      <c r="X72" s="241">
        <v>156.57</v>
      </c>
      <c r="Y72" s="247">
        <v>0.0145143523618219</v>
      </c>
    </row>
    <row r="73" s="232" customFormat="1" ht="20.4" customHeight="1" spans="1:25">
      <c r="A73" s="90" t="s">
        <v>128</v>
      </c>
      <c r="B73" s="241">
        <v>6567.37733097441</v>
      </c>
      <c r="C73" s="242">
        <f t="shared" si="36"/>
        <v>6</v>
      </c>
      <c r="D73" s="243">
        <f t="shared" si="37"/>
        <v>0.0318503507070372</v>
      </c>
      <c r="E73" s="243">
        <v>0.0707101978723046</v>
      </c>
      <c r="F73" s="242">
        <f t="shared" si="38"/>
        <v>9</v>
      </c>
      <c r="G73" s="248">
        <v>4495.58</v>
      </c>
      <c r="H73" s="242">
        <f t="shared" si="39"/>
        <v>4</v>
      </c>
      <c r="I73" s="243">
        <f t="shared" si="40"/>
        <v>0.0758552056111099</v>
      </c>
      <c r="J73" s="246">
        <v>0.101930765026117</v>
      </c>
      <c r="K73" s="242">
        <f t="shared" si="41"/>
        <v>1</v>
      </c>
      <c r="L73" s="248">
        <v>1163.57</v>
      </c>
      <c r="M73" s="242">
        <f t="shared" si="42"/>
        <v>9</v>
      </c>
      <c r="N73" s="243">
        <f t="shared" si="43"/>
        <v>0.0424317877568227</v>
      </c>
      <c r="O73" s="246">
        <v>-0.120120687829888</v>
      </c>
      <c r="P73" s="242">
        <f t="shared" si="44"/>
        <v>14</v>
      </c>
      <c r="Q73" s="248">
        <v>503.857330974408</v>
      </c>
      <c r="R73" s="242">
        <f t="shared" si="45"/>
        <v>8</v>
      </c>
      <c r="S73" s="243">
        <f t="shared" si="46"/>
        <v>0.0221908740163514</v>
      </c>
      <c r="T73" s="246">
        <v>0.671253474131849</v>
      </c>
      <c r="U73" s="242">
        <f t="shared" si="47"/>
        <v>14</v>
      </c>
      <c r="V73" s="94">
        <v>404.37</v>
      </c>
      <c r="W73" s="247">
        <v>-0.0596702555635653</v>
      </c>
      <c r="X73" s="94">
        <v>0</v>
      </c>
      <c r="Y73" s="249"/>
    </row>
    <row r="74" s="232" customFormat="1" ht="20.4" customHeight="1" spans="1:25">
      <c r="A74" s="90" t="s">
        <v>129</v>
      </c>
      <c r="B74" s="241">
        <v>8654.25894974321</v>
      </c>
      <c r="C74" s="242">
        <f t="shared" si="36"/>
        <v>3</v>
      </c>
      <c r="D74" s="243">
        <f t="shared" si="37"/>
        <v>0.0419712723614648</v>
      </c>
      <c r="E74" s="243">
        <v>0.167772072207475</v>
      </c>
      <c r="F74" s="242">
        <f t="shared" si="38"/>
        <v>5</v>
      </c>
      <c r="G74" s="248">
        <v>5221.57</v>
      </c>
      <c r="H74" s="242">
        <f t="shared" si="39"/>
        <v>3</v>
      </c>
      <c r="I74" s="243">
        <f t="shared" si="40"/>
        <v>0.0881050422777046</v>
      </c>
      <c r="J74" s="246">
        <v>-0.0230103563443135</v>
      </c>
      <c r="K74" s="242">
        <f t="shared" si="41"/>
        <v>14</v>
      </c>
      <c r="L74" s="248">
        <v>1813.11</v>
      </c>
      <c r="M74" s="242">
        <f t="shared" si="42"/>
        <v>5</v>
      </c>
      <c r="N74" s="243">
        <f t="shared" si="43"/>
        <v>0.0661184962656074</v>
      </c>
      <c r="O74" s="246">
        <v>0.114052928128591</v>
      </c>
      <c r="P74" s="242">
        <f t="shared" si="44"/>
        <v>3</v>
      </c>
      <c r="Q74" s="248">
        <v>1619.57894974321</v>
      </c>
      <c r="R74" s="242">
        <f t="shared" si="45"/>
        <v>3</v>
      </c>
      <c r="S74" s="243">
        <f t="shared" si="46"/>
        <v>0.0713294621788716</v>
      </c>
      <c r="T74" s="246">
        <v>2.69030110801543</v>
      </c>
      <c r="U74" s="242">
        <f t="shared" si="47"/>
        <v>4</v>
      </c>
      <c r="V74" s="94">
        <v>0</v>
      </c>
      <c r="W74" s="245"/>
      <c r="X74" s="94">
        <v>0</v>
      </c>
      <c r="Y74" s="249"/>
    </row>
    <row r="75" s="232" customFormat="1" ht="20.4" customHeight="1" spans="1:25">
      <c r="A75" s="90" t="s">
        <v>130</v>
      </c>
      <c r="B75" s="241">
        <v>8135.59576972183</v>
      </c>
      <c r="C75" s="242">
        <f t="shared" si="36"/>
        <v>4</v>
      </c>
      <c r="D75" s="243">
        <f t="shared" si="37"/>
        <v>0.0394558688221257</v>
      </c>
      <c r="E75" s="243">
        <v>0.189221337829923</v>
      </c>
      <c r="F75" s="242">
        <f t="shared" si="38"/>
        <v>2</v>
      </c>
      <c r="G75" s="248">
        <v>2992.97</v>
      </c>
      <c r="H75" s="242">
        <f t="shared" si="39"/>
        <v>7</v>
      </c>
      <c r="I75" s="243">
        <f t="shared" si="40"/>
        <v>0.0505012378242371</v>
      </c>
      <c r="J75" s="246">
        <v>0.0415366037840903</v>
      </c>
      <c r="K75" s="242">
        <f t="shared" si="41"/>
        <v>6</v>
      </c>
      <c r="L75" s="248">
        <v>3510.67</v>
      </c>
      <c r="M75" s="242">
        <f t="shared" si="42"/>
        <v>2</v>
      </c>
      <c r="N75" s="243">
        <f t="shared" si="43"/>
        <v>0.128023242541699</v>
      </c>
      <c r="O75" s="246">
        <v>0.112954409279825</v>
      </c>
      <c r="P75" s="242">
        <f t="shared" si="44"/>
        <v>4</v>
      </c>
      <c r="Q75" s="248">
        <v>1631.95576972183</v>
      </c>
      <c r="R75" s="242">
        <f t="shared" si="45"/>
        <v>2</v>
      </c>
      <c r="S75" s="243">
        <f t="shared" si="46"/>
        <v>0.0718745618251097</v>
      </c>
      <c r="T75" s="246">
        <v>1.00700104552972</v>
      </c>
      <c r="U75" s="242">
        <f t="shared" si="47"/>
        <v>11</v>
      </c>
      <c r="V75" s="94">
        <v>0</v>
      </c>
      <c r="W75" s="245"/>
      <c r="X75" s="94">
        <v>0</v>
      </c>
      <c r="Y75" s="249"/>
    </row>
    <row r="76" s="232" customFormat="1" ht="20.4" customHeight="1" spans="1:25">
      <c r="A76" s="90" t="s">
        <v>131</v>
      </c>
      <c r="B76" s="241">
        <v>8693.76796187168</v>
      </c>
      <c r="C76" s="242">
        <f t="shared" si="36"/>
        <v>2</v>
      </c>
      <c r="D76" s="243">
        <f t="shared" si="37"/>
        <v>0.042162882471401</v>
      </c>
      <c r="E76" s="243">
        <v>0.0300661593028826</v>
      </c>
      <c r="F76" s="242">
        <f t="shared" si="38"/>
        <v>12</v>
      </c>
      <c r="G76" s="248">
        <v>5784.56</v>
      </c>
      <c r="H76" s="242">
        <f t="shared" si="39"/>
        <v>2</v>
      </c>
      <c r="I76" s="243">
        <f t="shared" si="40"/>
        <v>0.0976045333794087</v>
      </c>
      <c r="J76" s="246">
        <v>-0.0268220505081602</v>
      </c>
      <c r="K76" s="242">
        <f t="shared" si="41"/>
        <v>15</v>
      </c>
      <c r="L76" s="248">
        <v>1604.01</v>
      </c>
      <c r="M76" s="242">
        <f t="shared" si="42"/>
        <v>6</v>
      </c>
      <c r="N76" s="243">
        <f t="shared" si="43"/>
        <v>0.0584932680284135</v>
      </c>
      <c r="O76" s="246">
        <v>-0.0349904041102896</v>
      </c>
      <c r="P76" s="242">
        <f t="shared" si="44"/>
        <v>8</v>
      </c>
      <c r="Q76" s="248">
        <v>1305.19796187168</v>
      </c>
      <c r="R76" s="242">
        <f t="shared" si="45"/>
        <v>4</v>
      </c>
      <c r="S76" s="243">
        <f t="shared" si="46"/>
        <v>0.0574835012964496</v>
      </c>
      <c r="T76" s="246">
        <v>0.565268406780249</v>
      </c>
      <c r="U76" s="242">
        <f t="shared" si="47"/>
        <v>15</v>
      </c>
      <c r="V76" s="94">
        <v>0</v>
      </c>
      <c r="W76" s="245"/>
      <c r="X76" s="94">
        <v>0</v>
      </c>
      <c r="Y76" s="249"/>
    </row>
    <row r="77" s="232" customFormat="1" ht="20.4" customHeight="1" spans="1:25">
      <c r="A77" s="90" t="s">
        <v>132</v>
      </c>
      <c r="B77" s="241">
        <v>1355.92771983529</v>
      </c>
      <c r="C77" s="242">
        <f t="shared" si="36"/>
        <v>14</v>
      </c>
      <c r="D77" s="243">
        <f t="shared" si="37"/>
        <v>0.00657595433209859</v>
      </c>
      <c r="E77" s="243">
        <v>-0.138498984598711</v>
      </c>
      <c r="F77" s="242">
        <f t="shared" si="38"/>
        <v>17</v>
      </c>
      <c r="G77" s="248">
        <v>1027.62</v>
      </c>
      <c r="H77" s="242">
        <f t="shared" si="39"/>
        <v>12</v>
      </c>
      <c r="I77" s="243">
        <f t="shared" si="40"/>
        <v>0.0173393258244962</v>
      </c>
      <c r="J77" s="246">
        <v>0.0610209391649112</v>
      </c>
      <c r="K77" s="242">
        <f t="shared" si="41"/>
        <v>3</v>
      </c>
      <c r="L77" s="248">
        <v>153.43</v>
      </c>
      <c r="M77" s="242">
        <f t="shared" si="42"/>
        <v>16</v>
      </c>
      <c r="N77" s="243">
        <f t="shared" si="43"/>
        <v>0.00559511606137087</v>
      </c>
      <c r="O77" s="246">
        <v>-0.679887335697893</v>
      </c>
      <c r="P77" s="242">
        <f t="shared" si="44"/>
        <v>17</v>
      </c>
      <c r="Q77" s="248">
        <v>174.877719835289</v>
      </c>
      <c r="R77" s="242">
        <f t="shared" si="45"/>
        <v>14</v>
      </c>
      <c r="S77" s="243">
        <f t="shared" si="46"/>
        <v>0.00770196087377916</v>
      </c>
      <c r="T77" s="246">
        <v>0.386893829416046</v>
      </c>
      <c r="U77" s="242">
        <f t="shared" si="47"/>
        <v>16</v>
      </c>
      <c r="V77" s="94">
        <v>0</v>
      </c>
      <c r="W77" s="245"/>
      <c r="X77" s="94">
        <v>0</v>
      </c>
      <c r="Y77" s="249"/>
    </row>
    <row r="78" s="232" customFormat="1" ht="20.4" customHeight="1" spans="1:25">
      <c r="A78" s="90" t="s">
        <v>133</v>
      </c>
      <c r="B78" s="241">
        <v>4228.62205742888</v>
      </c>
      <c r="C78" s="242">
        <f t="shared" si="36"/>
        <v>9</v>
      </c>
      <c r="D78" s="243">
        <f t="shared" si="37"/>
        <v>0.0205078966456523</v>
      </c>
      <c r="E78" s="243">
        <v>0.0408354135637536</v>
      </c>
      <c r="F78" s="242">
        <f t="shared" si="38"/>
        <v>11</v>
      </c>
      <c r="G78" s="248">
        <v>2702.83</v>
      </c>
      <c r="H78" s="242">
        <f t="shared" si="39"/>
        <v>8</v>
      </c>
      <c r="I78" s="243">
        <f t="shared" si="40"/>
        <v>0.0456056227187318</v>
      </c>
      <c r="J78" s="246">
        <v>5.55004662039504e-5</v>
      </c>
      <c r="K78" s="242">
        <f t="shared" si="41"/>
        <v>9</v>
      </c>
      <c r="L78" s="248">
        <v>1095.68</v>
      </c>
      <c r="M78" s="242">
        <f t="shared" si="42"/>
        <v>10</v>
      </c>
      <c r="N78" s="243">
        <f t="shared" si="43"/>
        <v>0.0399560500953062</v>
      </c>
      <c r="O78" s="246">
        <v>-0.087784734248035</v>
      </c>
      <c r="P78" s="242">
        <f t="shared" si="44"/>
        <v>12</v>
      </c>
      <c r="Q78" s="248">
        <v>430.112057428882</v>
      </c>
      <c r="R78" s="242">
        <f t="shared" si="45"/>
        <v>11</v>
      </c>
      <c r="S78" s="243">
        <f t="shared" si="46"/>
        <v>0.0189429862236197</v>
      </c>
      <c r="T78" s="246">
        <v>1.70648201594465</v>
      </c>
      <c r="U78" s="242">
        <f t="shared" si="47"/>
        <v>9</v>
      </c>
      <c r="V78" s="94">
        <v>0</v>
      </c>
      <c r="W78" s="245"/>
      <c r="X78" s="94">
        <v>0</v>
      </c>
      <c r="Y78" s="249"/>
    </row>
    <row r="79" ht="20.4" customHeight="1" spans="1:25">
      <c r="A79" s="90" t="s">
        <v>134</v>
      </c>
      <c r="B79" s="241">
        <v>3517.64647090088</v>
      </c>
      <c r="C79" s="242">
        <f t="shared" si="36"/>
        <v>11</v>
      </c>
      <c r="D79" s="243">
        <f t="shared" si="37"/>
        <v>0.0170598197903365</v>
      </c>
      <c r="E79" s="243">
        <v>0.134169179623586</v>
      </c>
      <c r="F79" s="242">
        <f t="shared" si="38"/>
        <v>6</v>
      </c>
      <c r="G79" s="248">
        <v>1773.21</v>
      </c>
      <c r="H79" s="242">
        <f t="shared" si="39"/>
        <v>11</v>
      </c>
      <c r="I79" s="243">
        <f t="shared" si="40"/>
        <v>0.0299198788903047</v>
      </c>
      <c r="J79" s="246">
        <v>0.0694292830907852</v>
      </c>
      <c r="K79" s="242">
        <f t="shared" si="41"/>
        <v>2</v>
      </c>
      <c r="L79" s="248">
        <v>1313.35</v>
      </c>
      <c r="M79" s="242">
        <f t="shared" si="42"/>
        <v>8</v>
      </c>
      <c r="N79" s="243">
        <f t="shared" si="43"/>
        <v>0.0478937996428432</v>
      </c>
      <c r="O79" s="246">
        <v>0.0137471633450144</v>
      </c>
      <c r="P79" s="242">
        <f t="shared" si="44"/>
        <v>7</v>
      </c>
      <c r="Q79" s="248">
        <v>431.086470900875</v>
      </c>
      <c r="R79" s="242">
        <f t="shared" si="45"/>
        <v>10</v>
      </c>
      <c r="S79" s="243">
        <f t="shared" si="46"/>
        <v>0.0189859013213419</v>
      </c>
      <c r="T79" s="246">
        <v>1.91494633479654</v>
      </c>
      <c r="U79" s="242">
        <f t="shared" si="47"/>
        <v>7</v>
      </c>
      <c r="V79" s="94">
        <v>0</v>
      </c>
      <c r="W79" s="245"/>
      <c r="X79" s="94">
        <v>0</v>
      </c>
      <c r="Y79" s="245"/>
    </row>
    <row r="80" ht="20.4" customHeight="1" spans="1:25">
      <c r="A80" s="90" t="s">
        <v>135</v>
      </c>
      <c r="B80" s="241">
        <v>6867.62762911588</v>
      </c>
      <c r="C80" s="242">
        <f t="shared" si="36"/>
        <v>5</v>
      </c>
      <c r="D80" s="243">
        <f t="shared" si="37"/>
        <v>0.0333064993054427</v>
      </c>
      <c r="E80" s="243">
        <v>0.0100070845740547</v>
      </c>
      <c r="F80" s="242">
        <f t="shared" si="38"/>
        <v>15</v>
      </c>
      <c r="G80" s="248">
        <v>3865.42</v>
      </c>
      <c r="H80" s="242">
        <f t="shared" si="39"/>
        <v>5</v>
      </c>
      <c r="I80" s="243">
        <f t="shared" si="40"/>
        <v>0.0652223359106715</v>
      </c>
      <c r="J80" s="246">
        <v>0.0342288541240245</v>
      </c>
      <c r="K80" s="242">
        <f t="shared" si="41"/>
        <v>7</v>
      </c>
      <c r="L80" s="248">
        <v>2350.5</v>
      </c>
      <c r="M80" s="242">
        <f t="shared" si="42"/>
        <v>3</v>
      </c>
      <c r="N80" s="243">
        <f t="shared" si="43"/>
        <v>0.0857154422358876</v>
      </c>
      <c r="O80" s="246">
        <v>-0.138379765395894</v>
      </c>
      <c r="P80" s="242">
        <f t="shared" si="44"/>
        <v>15</v>
      </c>
      <c r="Q80" s="248">
        <v>651.707629115882</v>
      </c>
      <c r="R80" s="242">
        <f t="shared" si="45"/>
        <v>6</v>
      </c>
      <c r="S80" s="243">
        <f t="shared" si="46"/>
        <v>0.0287024937500416</v>
      </c>
      <c r="T80" s="246">
        <v>0.950673669385956</v>
      </c>
      <c r="U80" s="242">
        <f t="shared" si="47"/>
        <v>12</v>
      </c>
      <c r="V80" s="94">
        <v>0</v>
      </c>
      <c r="W80" s="245"/>
      <c r="X80" s="94">
        <v>0</v>
      </c>
      <c r="Y80" s="245"/>
    </row>
    <row r="81" ht="20.4" customHeight="1" spans="1:25">
      <c r="A81" s="90" t="s">
        <v>136</v>
      </c>
      <c r="B81" s="241">
        <v>5039.48266508495</v>
      </c>
      <c r="C81" s="242">
        <f t="shared" si="36"/>
        <v>8</v>
      </c>
      <c r="D81" s="243">
        <f t="shared" si="37"/>
        <v>0.0244403941140953</v>
      </c>
      <c r="E81" s="243">
        <v>0.0999418684279432</v>
      </c>
      <c r="F81" s="242">
        <f t="shared" si="38"/>
        <v>8</v>
      </c>
      <c r="G81" s="248">
        <v>3011.9</v>
      </c>
      <c r="H81" s="242">
        <f t="shared" si="39"/>
        <v>6</v>
      </c>
      <c r="I81" s="243">
        <f t="shared" si="40"/>
        <v>0.0508206491220492</v>
      </c>
      <c r="J81" s="246">
        <v>0.0526260606992577</v>
      </c>
      <c r="K81" s="242">
        <f t="shared" si="41"/>
        <v>4</v>
      </c>
      <c r="L81" s="248">
        <v>1438.19</v>
      </c>
      <c r="M81" s="242">
        <f t="shared" si="42"/>
        <v>7</v>
      </c>
      <c r="N81" s="243">
        <f t="shared" si="43"/>
        <v>0.0524463271087986</v>
      </c>
      <c r="O81" s="246">
        <v>-0.0389000267308206</v>
      </c>
      <c r="P81" s="242">
        <f t="shared" si="44"/>
        <v>9</v>
      </c>
      <c r="Q81" s="248">
        <v>589.392665084948</v>
      </c>
      <c r="R81" s="242">
        <f t="shared" si="45"/>
        <v>7</v>
      </c>
      <c r="S81" s="243">
        <f t="shared" si="46"/>
        <v>0.0259580194095181</v>
      </c>
      <c r="T81" s="246">
        <v>1.63274518609767</v>
      </c>
      <c r="U81" s="242">
        <f t="shared" si="47"/>
        <v>10</v>
      </c>
      <c r="V81" s="94">
        <v>0</v>
      </c>
      <c r="W81" s="245"/>
      <c r="X81" s="94">
        <v>0</v>
      </c>
      <c r="Y81" s="245"/>
    </row>
    <row r="82" ht="20.4" customHeight="1" spans="1:25">
      <c r="A82" s="90" t="s">
        <v>137</v>
      </c>
      <c r="B82" s="241">
        <v>3528.26645462094</v>
      </c>
      <c r="C82" s="242">
        <f t="shared" si="36"/>
        <v>10</v>
      </c>
      <c r="D82" s="243">
        <f t="shared" si="37"/>
        <v>0.0171113244000065</v>
      </c>
      <c r="E82" s="243">
        <v>0.0257462121148993</v>
      </c>
      <c r="F82" s="242">
        <f t="shared" si="38"/>
        <v>13</v>
      </c>
      <c r="G82" s="248">
        <v>2224.44</v>
      </c>
      <c r="H82" s="242">
        <f t="shared" si="39"/>
        <v>10</v>
      </c>
      <c r="I82" s="243">
        <f t="shared" si="40"/>
        <v>0.037533611585063</v>
      </c>
      <c r="J82" s="246">
        <v>-0.0577960006607677</v>
      </c>
      <c r="K82" s="242">
        <f t="shared" si="41"/>
        <v>16</v>
      </c>
      <c r="L82" s="248">
        <v>870.15</v>
      </c>
      <c r="M82" s="242">
        <f t="shared" si="42"/>
        <v>11</v>
      </c>
      <c r="N82" s="243">
        <f t="shared" si="43"/>
        <v>0.0317316707345491</v>
      </c>
      <c r="O82" s="246">
        <v>0.0475405099559387</v>
      </c>
      <c r="P82" s="242">
        <f t="shared" si="44"/>
        <v>6</v>
      </c>
      <c r="Q82" s="248">
        <v>433.676454620941</v>
      </c>
      <c r="R82" s="242">
        <f t="shared" si="45"/>
        <v>9</v>
      </c>
      <c r="S82" s="243">
        <f t="shared" si="46"/>
        <v>0.0190999693300881</v>
      </c>
      <c r="T82" s="246">
        <v>0.747588848666575</v>
      </c>
      <c r="U82" s="242">
        <f t="shared" si="47"/>
        <v>13</v>
      </c>
      <c r="V82" s="94">
        <v>0</v>
      </c>
      <c r="W82" s="245"/>
      <c r="X82" s="94">
        <v>0</v>
      </c>
      <c r="Y82" s="245"/>
    </row>
    <row r="83" ht="20.4" customHeight="1" spans="1:25">
      <c r="A83" s="90" t="s">
        <v>138</v>
      </c>
      <c r="B83" s="241">
        <v>1655.90201321761</v>
      </c>
      <c r="C83" s="242">
        <f t="shared" si="36"/>
        <v>12</v>
      </c>
      <c r="D83" s="243">
        <f t="shared" si="37"/>
        <v>0.00803076436749291</v>
      </c>
      <c r="E83" s="243">
        <v>0.185655593387352</v>
      </c>
      <c r="F83" s="242">
        <f t="shared" si="38"/>
        <v>3</v>
      </c>
      <c r="G83" s="248">
        <v>607.76</v>
      </c>
      <c r="H83" s="242">
        <f t="shared" si="39"/>
        <v>14</v>
      </c>
      <c r="I83" s="243">
        <f t="shared" si="40"/>
        <v>0.0102549081013369</v>
      </c>
      <c r="J83" s="246">
        <v>0.00998753635230587</v>
      </c>
      <c r="K83" s="242">
        <f t="shared" si="41"/>
        <v>8</v>
      </c>
      <c r="L83" s="248">
        <v>758.25</v>
      </c>
      <c r="M83" s="242">
        <f t="shared" si="42"/>
        <v>12</v>
      </c>
      <c r="N83" s="243">
        <f t="shared" si="43"/>
        <v>0.0276510249203836</v>
      </c>
      <c r="O83" s="246">
        <v>0.0494228693221137</v>
      </c>
      <c r="P83" s="242">
        <f t="shared" si="44"/>
        <v>5</v>
      </c>
      <c r="Q83" s="248">
        <v>289.892013217615</v>
      </c>
      <c r="R83" s="242">
        <f t="shared" si="45"/>
        <v>13</v>
      </c>
      <c r="S83" s="243">
        <f t="shared" si="46"/>
        <v>0.0127674179736909</v>
      </c>
      <c r="T83" s="246">
        <v>3.00829639367738</v>
      </c>
      <c r="U83" s="242">
        <f t="shared" si="47"/>
        <v>3</v>
      </c>
      <c r="V83" s="94">
        <v>0</v>
      </c>
      <c r="W83" s="245"/>
      <c r="X83" s="94">
        <v>0</v>
      </c>
      <c r="Y83" s="245"/>
    </row>
    <row r="84" ht="20.4" customHeight="1" spans="1:25">
      <c r="A84" s="90" t="s">
        <v>147</v>
      </c>
      <c r="B84" s="241">
        <v>5448.62524238003</v>
      </c>
      <c r="C84" s="242">
        <f t="shared" si="36"/>
        <v>7</v>
      </c>
      <c r="D84" s="243">
        <f t="shared" si="37"/>
        <v>0.0264246465666792</v>
      </c>
      <c r="E84" s="243">
        <v>0.105287241913628</v>
      </c>
      <c r="F84" s="242">
        <f t="shared" si="38"/>
        <v>7</v>
      </c>
      <c r="G84" s="248">
        <v>2259.37</v>
      </c>
      <c r="H84" s="242">
        <f t="shared" si="39"/>
        <v>9</v>
      </c>
      <c r="I84" s="243">
        <f t="shared" si="40"/>
        <v>0.0381229954536619</v>
      </c>
      <c r="J84" s="246">
        <v>-0.0126598320179695</v>
      </c>
      <c r="K84" s="242">
        <f t="shared" si="41"/>
        <v>12</v>
      </c>
      <c r="L84" s="248">
        <v>2088.7</v>
      </c>
      <c r="M84" s="242">
        <f t="shared" si="42"/>
        <v>4</v>
      </c>
      <c r="N84" s="243">
        <f t="shared" si="43"/>
        <v>0.0761684085080189</v>
      </c>
      <c r="O84" s="246">
        <v>-0.0753464075434948</v>
      </c>
      <c r="P84" s="242">
        <f t="shared" si="44"/>
        <v>10</v>
      </c>
      <c r="Q84" s="248">
        <v>1100.55524238003</v>
      </c>
      <c r="R84" s="242">
        <f t="shared" si="45"/>
        <v>5</v>
      </c>
      <c r="S84" s="243">
        <f t="shared" si="46"/>
        <v>0.0484706309312998</v>
      </c>
      <c r="T84" s="246">
        <v>1.87831356607756</v>
      </c>
      <c r="U84" s="242">
        <f t="shared" si="47"/>
        <v>8</v>
      </c>
      <c r="V84" s="94">
        <v>0</v>
      </c>
      <c r="W84" s="245"/>
      <c r="X84" s="94">
        <v>0</v>
      </c>
      <c r="Y84" s="245"/>
    </row>
    <row r="85" ht="20.4" customHeight="1" spans="1:25">
      <c r="A85" s="90" t="s">
        <v>107</v>
      </c>
      <c r="B85" s="241">
        <v>1451.66514712527</v>
      </c>
      <c r="C85" s="242">
        <f t="shared" si="36"/>
        <v>13</v>
      </c>
      <c r="D85" s="243">
        <f t="shared" si="37"/>
        <v>0.00704026001780874</v>
      </c>
      <c r="E85" s="243">
        <v>0.385520482838585</v>
      </c>
      <c r="F85" s="242">
        <f t="shared" si="38"/>
        <v>1</v>
      </c>
      <c r="G85" s="248">
        <v>804.22</v>
      </c>
      <c r="H85" s="242">
        <f t="shared" si="39"/>
        <v>13</v>
      </c>
      <c r="I85" s="243">
        <f t="shared" si="40"/>
        <v>0.0135698338048854</v>
      </c>
      <c r="J85" s="246">
        <v>-0.01786652011968</v>
      </c>
      <c r="K85" s="242">
        <f t="shared" si="41"/>
        <v>13</v>
      </c>
      <c r="L85" s="248">
        <v>326.07</v>
      </c>
      <c r="M85" s="242">
        <f t="shared" si="42"/>
        <v>13</v>
      </c>
      <c r="N85" s="243">
        <f t="shared" si="43"/>
        <v>0.0118907612209555</v>
      </c>
      <c r="O85" s="246">
        <v>0.718690702087287</v>
      </c>
      <c r="P85" s="242">
        <f t="shared" si="44"/>
        <v>1</v>
      </c>
      <c r="Q85" s="248">
        <v>321.375147125271</v>
      </c>
      <c r="R85" s="242">
        <f t="shared" si="45"/>
        <v>12</v>
      </c>
      <c r="S85" s="243">
        <f t="shared" si="46"/>
        <v>0.0141539974977669</v>
      </c>
      <c r="T85" s="246">
        <v>7.20463727256613</v>
      </c>
      <c r="U85" s="242">
        <f t="shared" si="47"/>
        <v>1</v>
      </c>
      <c r="V85" s="94">
        <v>0</v>
      </c>
      <c r="W85" s="245"/>
      <c r="X85" s="94">
        <v>0</v>
      </c>
      <c r="Y85" s="245"/>
    </row>
    <row r="86" ht="20.4" customHeight="1" spans="1:25">
      <c r="A86" s="90" t="s">
        <v>109</v>
      </c>
      <c r="B86" s="241">
        <v>554.230591785527</v>
      </c>
      <c r="C86" s="242">
        <f t="shared" si="36"/>
        <v>15</v>
      </c>
      <c r="D86" s="243">
        <f t="shared" si="37"/>
        <v>0.00268789774537269</v>
      </c>
      <c r="E86" s="243">
        <v>-0.00677050547289748</v>
      </c>
      <c r="F86" s="242">
        <f t="shared" si="38"/>
        <v>16</v>
      </c>
      <c r="G86" s="248">
        <v>297.8</v>
      </c>
      <c r="H86" s="242">
        <f t="shared" si="39"/>
        <v>15</v>
      </c>
      <c r="I86" s="243">
        <f t="shared" si="40"/>
        <v>0.00502486447376947</v>
      </c>
      <c r="J86" s="246">
        <v>-0.0986955600617415</v>
      </c>
      <c r="K86" s="242">
        <f t="shared" si="41"/>
        <v>17</v>
      </c>
      <c r="L86" s="248">
        <v>187.16</v>
      </c>
      <c r="M86" s="242">
        <f t="shared" si="42"/>
        <v>14</v>
      </c>
      <c r="N86" s="243">
        <f t="shared" si="43"/>
        <v>0.0068251445091975</v>
      </c>
      <c r="O86" s="246">
        <v>-0.0825490196078431</v>
      </c>
      <c r="P86" s="242">
        <f t="shared" si="44"/>
        <v>11</v>
      </c>
      <c r="Q86" s="248">
        <v>69.270591785527</v>
      </c>
      <c r="R86" s="242">
        <f t="shared" si="45"/>
        <v>16</v>
      </c>
      <c r="S86" s="243">
        <f t="shared" si="46"/>
        <v>0.00305081395239005</v>
      </c>
      <c r="T86" s="246">
        <v>1.93536969287335</v>
      </c>
      <c r="U86" s="242">
        <f t="shared" si="47"/>
        <v>5</v>
      </c>
      <c r="V86" s="94">
        <v>0</v>
      </c>
      <c r="W86" s="245"/>
      <c r="X86" s="94">
        <v>0</v>
      </c>
      <c r="Y86" s="245"/>
    </row>
    <row r="87" ht="20.4" customHeight="1" spans="1:25">
      <c r="A87" s="90" t="s">
        <v>111</v>
      </c>
      <c r="B87" s="241">
        <v>487.444902028657</v>
      </c>
      <c r="C87" s="242">
        <f t="shared" si="36"/>
        <v>16</v>
      </c>
      <c r="D87" s="243">
        <f t="shared" si="37"/>
        <v>0.00236400168553534</v>
      </c>
      <c r="E87" s="243">
        <v>0.176516356768132</v>
      </c>
      <c r="F87" s="242">
        <f t="shared" si="38"/>
        <v>4</v>
      </c>
      <c r="G87" s="248">
        <v>209.99</v>
      </c>
      <c r="H87" s="242">
        <f t="shared" si="39"/>
        <v>16</v>
      </c>
      <c r="I87" s="243">
        <f t="shared" si="40"/>
        <v>0.00354322125872011</v>
      </c>
      <c r="J87" s="246">
        <v>0.041565398541739</v>
      </c>
      <c r="K87" s="242">
        <f t="shared" si="41"/>
        <v>5</v>
      </c>
      <c r="L87" s="248">
        <v>162.27</v>
      </c>
      <c r="M87" s="242">
        <f t="shared" si="42"/>
        <v>15</v>
      </c>
      <c r="N87" s="243">
        <f t="shared" si="43"/>
        <v>0.0059174834340002</v>
      </c>
      <c r="O87" s="246">
        <v>-0.119485593358294</v>
      </c>
      <c r="P87" s="242">
        <f t="shared" si="44"/>
        <v>13</v>
      </c>
      <c r="Q87" s="248">
        <v>115.184902028657</v>
      </c>
      <c r="R87" s="242">
        <f t="shared" si="45"/>
        <v>15</v>
      </c>
      <c r="S87" s="243">
        <f t="shared" si="46"/>
        <v>0.00507297104233962</v>
      </c>
      <c r="T87" s="246">
        <v>3.05408647213214</v>
      </c>
      <c r="U87" s="242">
        <f t="shared" si="47"/>
        <v>2</v>
      </c>
      <c r="V87" s="94">
        <v>0</v>
      </c>
      <c r="W87" s="245"/>
      <c r="X87" s="94">
        <v>0</v>
      </c>
      <c r="Y87" s="245"/>
    </row>
    <row r="88" ht="20.4" customHeight="1" spans="1:25">
      <c r="A88" s="90" t="s">
        <v>112</v>
      </c>
      <c r="B88" s="241">
        <v>129.516225810878</v>
      </c>
      <c r="C88" s="242">
        <f t="shared" si="36"/>
        <v>17</v>
      </c>
      <c r="D88" s="243">
        <f t="shared" si="37"/>
        <v>0.000628125506794392</v>
      </c>
      <c r="E88" s="243">
        <v>0.0643796640659782</v>
      </c>
      <c r="F88" s="242">
        <f t="shared" si="38"/>
        <v>10</v>
      </c>
      <c r="G88" s="248">
        <v>73.5</v>
      </c>
      <c r="H88" s="242">
        <f t="shared" si="39"/>
        <v>17</v>
      </c>
      <c r="I88" s="243">
        <f t="shared" si="40"/>
        <v>0.0012401864970519</v>
      </c>
      <c r="J88" s="246">
        <v>0</v>
      </c>
      <c r="K88" s="242">
        <f t="shared" si="41"/>
        <v>10</v>
      </c>
      <c r="L88" s="248">
        <v>54.52</v>
      </c>
      <c r="M88" s="242">
        <f t="shared" si="42"/>
        <v>17</v>
      </c>
      <c r="N88" s="243">
        <f t="shared" si="43"/>
        <v>0.00198817524386326</v>
      </c>
      <c r="O88" s="246">
        <v>0.143696245017831</v>
      </c>
      <c r="P88" s="242">
        <f t="shared" si="44"/>
        <v>2</v>
      </c>
      <c r="Q88" s="248">
        <v>1.49622581087839</v>
      </c>
      <c r="R88" s="242">
        <f t="shared" si="45"/>
        <v>17</v>
      </c>
      <c r="S88" s="243">
        <f t="shared" si="46"/>
        <v>6.58967458208957e-5</v>
      </c>
      <c r="T88" s="246">
        <v>1.92028226551792</v>
      </c>
      <c r="U88" s="242">
        <f t="shared" si="47"/>
        <v>6</v>
      </c>
      <c r="V88" s="94">
        <v>0</v>
      </c>
      <c r="W88" s="245"/>
      <c r="X88" s="94">
        <v>0</v>
      </c>
      <c r="Y88" s="245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5:Y45"/>
    <mergeCell ref="A46:Y46"/>
    <mergeCell ref="B47:F47"/>
    <mergeCell ref="G47:K47"/>
    <mergeCell ref="L47:P47"/>
    <mergeCell ref="Q47:U47"/>
    <mergeCell ref="V47:W47"/>
    <mergeCell ref="X47:Y47"/>
    <mergeCell ref="A67:Y67"/>
    <mergeCell ref="A68:Y68"/>
    <mergeCell ref="B69:F69"/>
    <mergeCell ref="G69:K69"/>
    <mergeCell ref="L69:P69"/>
    <mergeCell ref="Q69:U69"/>
    <mergeCell ref="V69:W69"/>
    <mergeCell ref="X69:Y69"/>
    <mergeCell ref="A3:A4"/>
    <mergeCell ref="A25:A26"/>
    <mergeCell ref="A47:A48"/>
    <mergeCell ref="A69:A70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C1" activePane="topRight" state="frozen"/>
      <selection/>
      <selection pane="topRight" activeCell="C1" sqref="A1:C2"/>
    </sheetView>
  </sheetViews>
  <sheetFormatPr defaultColWidth="9" defaultRowHeight="14.4"/>
  <cols>
    <col min="1" max="1" width="6.22222222222222" style="16" customWidth="1"/>
    <col min="2" max="2" width="14.5555555555556" style="16" customWidth="1"/>
    <col min="3" max="3" width="11" style="16" customWidth="1"/>
    <col min="4" max="4" width="9.88888888888889" style="16" customWidth="1"/>
    <col min="5" max="5" width="11" style="16" customWidth="1"/>
    <col min="6" max="6" width="9.88888888888889" style="16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1.6666666666667" style="16" customWidth="1"/>
    <col min="20" max="20" width="9.88888888888889" style="16" customWidth="1"/>
    <col min="21" max="21" width="12.1111111111111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11.4444444444444" style="16" customWidth="1"/>
    <col min="26" max="26" width="11.5555555555556" style="16" customWidth="1"/>
    <col min="27" max="27" width="10.7777777777778" style="16" customWidth="1"/>
    <col min="28" max="28" width="11.5555555555556" style="16" customWidth="1"/>
    <col min="29" max="29" width="11.6666666666667" style="16" customWidth="1"/>
    <col min="30" max="30" width="11.5555555555556" style="16" customWidth="1"/>
    <col min="31" max="31" width="11.6666666666667" style="16" customWidth="1"/>
    <col min="32" max="32" width="11.5555555555556" style="16" customWidth="1"/>
    <col min="33" max="33" width="11.6666666666667" style="16" customWidth="1"/>
    <col min="34" max="34" width="11.5555555555556" style="16" customWidth="1"/>
    <col min="35" max="35" width="11.6666666666667" style="16" customWidth="1"/>
    <col min="36" max="36" width="11.5555555555556" style="16" customWidth="1"/>
    <col min="37" max="37" width="11.6666666666667" style="16" customWidth="1"/>
    <col min="38" max="38" width="11.5555555555556" style="16" customWidth="1"/>
    <col min="39" max="39" width="11.6666666666667" style="16" customWidth="1"/>
    <col min="40" max="40" width="11.5555555555556" style="16" customWidth="1"/>
    <col min="41" max="41" width="11.6666666666667" style="16" customWidth="1"/>
    <col min="42" max="42" width="11.5555555555556" style="16" customWidth="1"/>
    <col min="43" max="43" width="11.6666666666667" style="16" customWidth="1"/>
    <col min="44" max="44" width="11.5555555555556" style="16" customWidth="1"/>
    <col min="45" max="45" width="11.6666666666667" style="16" customWidth="1"/>
    <col min="46" max="46" width="11.5555555555556" style="16" customWidth="1"/>
    <col min="47" max="47" width="10.3333333333333" style="16" customWidth="1"/>
    <col min="48" max="48" width="11.6666666666667" style="16" customWidth="1"/>
    <col min="49" max="49" width="11" style="16" customWidth="1"/>
    <col min="50" max="50" width="8.77777777777778" style="16" customWidth="1"/>
    <col min="51" max="51" width="11" style="16" customWidth="1"/>
    <col min="52" max="52" width="9.66666666666667" style="16" customWidth="1"/>
    <col min="53" max="53" width="11" style="16" customWidth="1"/>
    <col min="54" max="54" width="9.22222222222222" style="16" customWidth="1"/>
    <col min="55" max="55" width="11" style="16" customWidth="1"/>
    <col min="56" max="56" width="8.55555555555556" style="16" customWidth="1"/>
    <col min="57" max="57" width="11" style="16" customWidth="1"/>
    <col min="58" max="58" width="9.11111111111111" style="16" customWidth="1"/>
    <col min="59" max="59" width="11" style="16" customWidth="1"/>
    <col min="60" max="60" width="8.77777777777778" style="16" customWidth="1"/>
    <col min="61" max="61" width="11" style="16" customWidth="1"/>
    <col min="62" max="62" width="8.66666666666667" style="16" customWidth="1"/>
    <col min="63" max="63" width="11" style="16" customWidth="1"/>
    <col min="64" max="64" width="10.6666666666667" style="16" customWidth="1"/>
    <col min="65" max="65" width="11" style="16" customWidth="1"/>
    <col min="66" max="66" width="9.55555555555556" style="16" customWidth="1"/>
    <col min="67" max="67" width="11" style="16" customWidth="1"/>
    <col min="68" max="68" width="10.2222222222222" style="16" customWidth="1"/>
    <col min="69" max="69" width="11" style="16" customWidth="1"/>
    <col min="70" max="70" width="9.66666666666667" style="16" customWidth="1"/>
    <col min="71" max="71" width="11" style="16" customWidth="1"/>
    <col min="72" max="72" width="10" style="16" customWidth="1"/>
    <col min="73" max="73" width="13.2222222222222" style="16" customWidth="1"/>
    <col min="74" max="74" width="8.33333333333333" style="16" customWidth="1"/>
    <col min="75" max="75" width="14" style="16" customWidth="1"/>
    <col min="76" max="83" width="11" style="16" customWidth="1"/>
    <col min="84" max="84" width="11.5555555555556" style="16" customWidth="1"/>
    <col min="85" max="87" width="11" style="16" customWidth="1"/>
    <col min="88" max="88" width="13" style="16" customWidth="1"/>
    <col min="89" max="89" width="9" style="16" customWidth="1"/>
  </cols>
  <sheetData>
    <row r="1" ht="25.8" customHeight="1" spans="1:88">
      <c r="A1" s="172" t="s">
        <v>269</v>
      </c>
      <c r="C1" s="173"/>
      <c r="D1" s="174"/>
      <c r="E1" s="173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5"/>
      <c r="R1" s="127"/>
      <c r="S1" s="173"/>
      <c r="T1" s="174"/>
      <c r="U1" s="208"/>
      <c r="V1" s="173"/>
      <c r="W1" s="174"/>
      <c r="X1" s="173"/>
      <c r="Y1" s="174"/>
      <c r="Z1" s="173"/>
      <c r="AA1" s="174"/>
      <c r="AB1" s="173"/>
      <c r="AC1" s="174"/>
      <c r="AD1" s="173"/>
      <c r="AE1" s="174"/>
      <c r="AF1" s="173"/>
      <c r="AG1" s="174"/>
      <c r="AH1" s="173"/>
      <c r="AI1" s="174"/>
      <c r="AJ1" s="173"/>
      <c r="AK1" s="174"/>
      <c r="AL1" s="173"/>
      <c r="AM1" s="174"/>
      <c r="AN1" s="173"/>
      <c r="AO1" s="174"/>
      <c r="AP1" s="173"/>
      <c r="AQ1" s="174"/>
      <c r="AR1" s="173"/>
      <c r="AS1" s="174"/>
      <c r="AT1" s="209"/>
      <c r="AU1" s="174"/>
      <c r="AV1" s="177"/>
      <c r="AX1" s="18"/>
      <c r="AZ1" s="18"/>
      <c r="BB1" s="18"/>
      <c r="BD1" s="18"/>
      <c r="BF1" s="18"/>
      <c r="BH1" s="18"/>
      <c r="BJ1" s="18"/>
      <c r="BL1" s="18"/>
      <c r="BM1" s="127"/>
      <c r="BN1" s="18"/>
      <c r="BO1" s="19"/>
      <c r="BP1" s="18"/>
      <c r="BQ1" s="19"/>
      <c r="BR1" s="18"/>
      <c r="BS1" s="19"/>
      <c r="BT1" s="18"/>
      <c r="CC1" s="127"/>
      <c r="CE1" s="19"/>
    </row>
    <row r="2" ht="21" customHeight="1" spans="1:88">
      <c r="A2" s="21"/>
      <c r="B2" s="21"/>
      <c r="C2" s="173"/>
      <c r="D2" s="174"/>
      <c r="E2" s="173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  <c r="R2" s="127"/>
      <c r="S2" s="173"/>
      <c r="T2" s="174"/>
      <c r="U2" s="208"/>
      <c r="V2" s="173"/>
      <c r="W2" s="174"/>
      <c r="X2" s="173"/>
      <c r="Y2" s="174"/>
      <c r="Z2" s="173"/>
      <c r="AA2" s="174"/>
      <c r="AB2" s="173"/>
      <c r="AC2" s="174"/>
      <c r="AD2" s="173"/>
      <c r="AE2" s="174"/>
      <c r="AF2" s="173"/>
      <c r="AG2" s="174"/>
      <c r="AH2" s="173"/>
      <c r="AI2" s="174"/>
      <c r="AJ2" s="173"/>
      <c r="AK2" s="174"/>
      <c r="AL2" s="173"/>
      <c r="AM2" s="174"/>
      <c r="AN2" s="173"/>
      <c r="AO2" s="174"/>
      <c r="AP2" s="173"/>
      <c r="AQ2" s="174"/>
      <c r="AR2" s="173"/>
      <c r="AS2" s="174"/>
      <c r="AT2" s="209"/>
      <c r="AU2" s="174"/>
      <c r="AV2" s="177"/>
      <c r="BM2" s="127"/>
      <c r="BO2" s="19"/>
      <c r="BP2" s="18"/>
      <c r="BQ2" s="19"/>
      <c r="BR2" s="18"/>
      <c r="BS2" s="19"/>
      <c r="BT2" s="18"/>
      <c r="CC2" s="127"/>
      <c r="CE2" s="19"/>
    </row>
    <row r="3" ht="28.05" customHeight="1" spans="1:88">
      <c r="A3" s="22" t="s">
        <v>1</v>
      </c>
      <c r="B3" s="23" t="s">
        <v>2</v>
      </c>
      <c r="C3" s="24" t="s">
        <v>151</v>
      </c>
      <c r="D3" s="180" t="s">
        <v>3</v>
      </c>
      <c r="E3" s="24" t="s">
        <v>197</v>
      </c>
      <c r="F3" s="180" t="s">
        <v>4</v>
      </c>
      <c r="G3" s="181">
        <v>46082</v>
      </c>
      <c r="H3" s="180" t="s">
        <v>5</v>
      </c>
      <c r="I3" s="181">
        <v>46113</v>
      </c>
      <c r="J3" s="180" t="s">
        <v>6</v>
      </c>
      <c r="K3" s="181">
        <v>46143</v>
      </c>
      <c r="L3" s="180" t="s">
        <v>7</v>
      </c>
      <c r="M3" s="181">
        <v>46174</v>
      </c>
      <c r="N3" s="180" t="s">
        <v>8</v>
      </c>
      <c r="O3" s="181">
        <v>46204</v>
      </c>
      <c r="P3" s="180" t="s">
        <v>9</v>
      </c>
      <c r="Q3" s="181">
        <v>46235</v>
      </c>
      <c r="R3" s="180" t="s">
        <v>10</v>
      </c>
      <c r="S3" s="159" t="s">
        <v>204</v>
      </c>
      <c r="T3" s="187" t="s">
        <v>205</v>
      </c>
      <c r="U3" s="210"/>
      <c r="V3" s="24" t="s">
        <v>13</v>
      </c>
      <c r="W3" s="180" t="s">
        <v>3</v>
      </c>
      <c r="X3" s="24" t="s">
        <v>14</v>
      </c>
      <c r="Y3" s="180" t="s">
        <v>4</v>
      </c>
      <c r="Z3" s="24" t="s">
        <v>15</v>
      </c>
      <c r="AA3" s="180" t="s">
        <v>5</v>
      </c>
      <c r="AB3" s="24" t="s">
        <v>16</v>
      </c>
      <c r="AC3" s="180" t="s">
        <v>6</v>
      </c>
      <c r="AD3" s="24" t="s">
        <v>17</v>
      </c>
      <c r="AE3" s="180" t="s">
        <v>7</v>
      </c>
      <c r="AF3" s="24" t="s">
        <v>18</v>
      </c>
      <c r="AG3" s="180" t="s">
        <v>8</v>
      </c>
      <c r="AH3" s="159" t="s">
        <v>19</v>
      </c>
      <c r="AI3" s="187" t="s">
        <v>9</v>
      </c>
      <c r="AJ3" s="159" t="s">
        <v>20</v>
      </c>
      <c r="AK3" s="187" t="s">
        <v>10</v>
      </c>
      <c r="AL3" s="159" t="s">
        <v>21</v>
      </c>
      <c r="AM3" s="187" t="s">
        <v>22</v>
      </c>
      <c r="AN3" s="159" t="s">
        <v>23</v>
      </c>
      <c r="AO3" s="187" t="s">
        <v>24</v>
      </c>
      <c r="AP3" s="159" t="s">
        <v>25</v>
      </c>
      <c r="AQ3" s="187" t="s">
        <v>26</v>
      </c>
      <c r="AR3" s="159" t="s">
        <v>27</v>
      </c>
      <c r="AS3" s="187" t="s">
        <v>28</v>
      </c>
      <c r="AT3" s="211" t="s">
        <v>51</v>
      </c>
      <c r="AU3" s="212" t="s">
        <v>44</v>
      </c>
      <c r="AV3" s="213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14" t="s">
        <v>44</v>
      </c>
      <c r="BW3" s="52"/>
      <c r="BX3" s="215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1"/>
      <c r="R4" s="31"/>
      <c r="S4" s="29"/>
      <c r="T4" s="30"/>
      <c r="U4" s="216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217"/>
      <c r="AV4" s="218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217"/>
      <c r="BW4" s="52"/>
      <c r="BX4" s="28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205" customFormat="1" ht="27" customHeight="1" spans="1:88">
      <c r="A5" s="33" t="s">
        <v>80</v>
      </c>
      <c r="B5" s="34" t="s">
        <v>273</v>
      </c>
      <c r="C5" s="38">
        <f>C9+C13+C17+C21+C25+C29+C33+C37+C41+C45+C49+C53+C57+C61+C65+C69+C73</f>
        <v>14341.43</v>
      </c>
      <c r="D5" s="36">
        <f t="shared" ref="D5:D36" si="0">C5/V5-1</f>
        <v>-0.048928858483584</v>
      </c>
      <c r="E5" s="38">
        <f>E9+E13+E17+E21+E25+E29+E33+E37+E41+E45+E49+E53+E57+E61+E65+E69+E73</f>
        <v>12084.1</v>
      </c>
      <c r="F5" s="36">
        <f t="shared" ref="F5:F36" si="1">E5/X5-1</f>
        <v>-0.115354375094255</v>
      </c>
      <c r="G5" s="38">
        <f>G9+G13+G17+G21+G25+G29+G33+G37+G41+G45+G49+G53+G57+G61+G65+G69+G73</f>
        <v>14582.49</v>
      </c>
      <c r="H5" s="36">
        <f t="shared" ref="H5:H36" si="2">G5/Z5-1</f>
        <v>-0.0466561847262222</v>
      </c>
      <c r="I5" s="38">
        <f>I9+I13+I17+I21+I25+I29+I33+I37+I41+I45+I49+I53+I57+I61+I65+I69+I73</f>
        <v>15034.38</v>
      </c>
      <c r="J5" s="36">
        <f t="shared" ref="J5:J36" si="3">I5/AB5-1</f>
        <v>-0.0266237634018747</v>
      </c>
      <c r="K5" s="38">
        <f>K9+K13+K17+K21+K25+K29+K33+K37+K41+K45+K49+K53+K57+K61+K65+K69+K73</f>
        <v>14833.51</v>
      </c>
      <c r="L5" s="36">
        <f t="shared" ref="L5:L36" si="4">K5/AD5-1</f>
        <v>-0.0194218271457387</v>
      </c>
      <c r="M5" s="38">
        <f>M9+M13+M17+M21+M25+M29+M33+M37+M41+M45+M49+M53+M57+M61+M65+M69+M73</f>
        <v>14610.33</v>
      </c>
      <c r="N5" s="36">
        <f t="shared" ref="N5:N36" si="5">M5/AF5-1</f>
        <v>0.021644958075743</v>
      </c>
      <c r="O5" s="38">
        <f>O9+O13+O17+O21+O25+O29+O33+O37+O41+O45+O49+O53+O57+O61+O65+O69+O73</f>
        <v>12974.73</v>
      </c>
      <c r="P5" s="36">
        <f t="shared" ref="P5:P36" si="6">O5/AH5-1</f>
        <v>0.00463496728964352</v>
      </c>
      <c r="Q5" s="175"/>
      <c r="R5" s="127"/>
      <c r="S5" s="103">
        <f t="shared" ref="S5:S36" si="7">C5+E5+G5+I5+K5+M5+O5+Q5</f>
        <v>98460.97</v>
      </c>
      <c r="T5" s="104">
        <f t="shared" ref="T5:T36" si="8">S5/SUM(V5+X5+Z5+AB5+AD5+AF5+AH5+AJ5)-1</f>
        <v>-0.138466254039876</v>
      </c>
      <c r="U5" s="38"/>
      <c r="V5" s="38">
        <f>V9+V13+V17+V21+V25+V29+V33+V37+V41+V45+V49+V53+V57+V61+V65+V69+V73</f>
        <v>15079.24</v>
      </c>
      <c r="W5" s="36">
        <f t="shared" ref="W5:W36" si="9">V5/AW5-1</f>
        <v>-0.0966988309208145</v>
      </c>
      <c r="X5" s="38">
        <f>X9+X13+X17+X21+X25+X29+X33+X37+X41+X45+X49+X53+X57+X61+X65+X69+X73</f>
        <v>13659.82</v>
      </c>
      <c r="Y5" s="36">
        <f>X5/AY5-1</f>
        <v>0.0385255479891036</v>
      </c>
      <c r="Z5" s="38">
        <f>Z9+Z13+Z17+Z21+Z25+Z29+Z33+Z37+Z41+Z45+Z49+Z53+Z57+Z61+Z65+Z69+Z73</f>
        <v>15296.15</v>
      </c>
      <c r="AA5" s="36">
        <f>Z5/BA5-1</f>
        <v>-0.0744655811187023</v>
      </c>
      <c r="AB5" s="38">
        <f>AB9+AB13+AB17+AB21+AB25+AB29+AB33+AB37+AB41+AB45+AB49+AB53+AB57+AB61+AB65+AB69+AB73</f>
        <v>15445.6</v>
      </c>
      <c r="AC5" s="36">
        <f>AB5/BC5-1</f>
        <v>-0.0755012868857372</v>
      </c>
      <c r="AD5" s="38">
        <f>AD9+AD13+AD17+AD21+AD25+AD29+AD33+AD37+AD41+AD45+AD49+AD53+AD57+AD61+AD65+AD69+AD73</f>
        <v>15127.31</v>
      </c>
      <c r="AE5" s="36">
        <f>AD5/BE5-1</f>
        <v>-0.0748354528852776</v>
      </c>
      <c r="AF5" s="38">
        <f>AF9+AF13+AF17+AF21+AF25+AF29+AF33+AF37+AF41+AF45+AF49+AF53+AF57+AF61+AF65+AF69+AF73</f>
        <v>14300.79</v>
      </c>
      <c r="AG5" s="36">
        <f t="shared" ref="AG5:AG36" si="10">AF5/BG5-1</f>
        <v>-0.0845812958924298</v>
      </c>
      <c r="AH5" s="38">
        <f>AH9+AH13+AH17+AH21+AH25+AH29+AH33+AH37+AH41+AH45+AH49+AH53+AH57+AH61+AH65+AH69+AH73</f>
        <v>12914.87</v>
      </c>
      <c r="AI5" s="36">
        <f t="shared" ref="AI5:AI36" si="11">AH5/BI5-1</f>
        <v>-0.128535405165951</v>
      </c>
      <c r="AJ5" s="38">
        <f>AJ9+AJ13+AJ17+AJ21+AJ25+AJ29+AJ33+AJ37+AJ41+AJ45+AJ49+AJ53+AJ57+AJ61+AJ65+AJ69+AJ73</f>
        <v>12461.9</v>
      </c>
      <c r="AK5" s="36">
        <f t="shared" ref="AK5:AK36" si="12">AJ5/BK5-1</f>
        <v>-0.111248199232623</v>
      </c>
      <c r="AL5" s="38">
        <f>AL9+AL13+AL17+AL21+AL25+AL29+AL33+AL37+AL41+AL45+AL49+AL53+AL57+AL61+AL65+AL69+AL73</f>
        <v>14084.99</v>
      </c>
      <c r="AM5" s="36">
        <f t="shared" ref="AM5:AM36" si="13">AL5/BM5-1</f>
        <v>-0.0740601226961602</v>
      </c>
      <c r="AN5" s="38">
        <f>AN9+AN13+AN17+AN21+AN25+AN29+AN33+AN37+AN41+AN45+AN49+AN53+AN57+AN61+AN65+AN69+AN73</f>
        <v>14603.12</v>
      </c>
      <c r="AO5" s="36">
        <f t="shared" ref="AO5:AO36" si="14">AN5/BO5-1</f>
        <v>-0.0827076453801897</v>
      </c>
      <c r="AP5" s="38">
        <f>AP9+AP13+AP17+AP21+AP25+AP29+AP33+AP37+AP41+AP45+AP49+AP53+AP57+AP61+AP65+AP69+AP73</f>
        <v>15440.32</v>
      </c>
      <c r="AQ5" s="36">
        <f t="shared" ref="AQ5:AQ36" si="15">AP5/BQ5-1</f>
        <v>-0.0477079780557979</v>
      </c>
      <c r="AR5" s="38">
        <f>AR9+AR13+AR17+AR21+AR25+AR29+AR33+AR37+AR41+AR45+AR49+AR53+AR57+AR61+AR65+AR69+AR73</f>
        <v>14664.17</v>
      </c>
      <c r="AS5" s="36">
        <f t="shared" ref="AS5:AS36" si="16">AR5/BS5-1</f>
        <v>-0.141280650520385</v>
      </c>
      <c r="AT5" s="35">
        <f t="shared" ref="AT5:AT36" si="17">V5+X5+Z5+AB5+AD5+AF5+AH5+AJ5+AL5+AN5+AP5+AR5</f>
        <v>173078.28</v>
      </c>
      <c r="AU5" s="36">
        <f t="shared" ref="AU5:AU36" si="18">AT5/(AW5+AY5+BA5+BC5+BE5+BG5+BI5+BK5+BM5+BO5+BQ5+BS5)-1</f>
        <v>-0.0809206242176422</v>
      </c>
      <c r="AV5" s="146"/>
      <c r="AW5" s="38">
        <f>AW9+AW13+AW17+AW21+AW25+AW29+AW33+AW37+AW41+AW45+AW49+AW53+AW57+AW61+AW65+AW69+AW73</f>
        <v>16693.48</v>
      </c>
      <c r="AX5" s="37">
        <f>AW5/BX5-1</f>
        <v>0.495658655943891</v>
      </c>
      <c r="AY5" s="38">
        <f>AY9+AY13+AY17+AY21+AY25+AY29+AY33+AY37+AY41+AY45+AY49+AY53+AY57+AY61+AY65+AY69+AY73</f>
        <v>13153.09</v>
      </c>
      <c r="AZ5" s="37">
        <f>AY5/BY5-1</f>
        <v>-0.0774895093467283</v>
      </c>
      <c r="BA5" s="38">
        <f>BA9+BA13+BA17+BA21+BA25+BA29+BA33+BA37+BA41+BA45+BA49+BA53+BA57+BA61+BA65+BA69+BA73</f>
        <v>16526.83</v>
      </c>
      <c r="BB5" s="37">
        <f>BA5/BZ5-1</f>
        <v>0.0225777490683354</v>
      </c>
      <c r="BC5" s="38">
        <f>BC9+BC13+BC17+BC21+BC25+BC29+BC33+BC37+BC41+BC45+BC49+BC53+BC57+BC61+BC65+BC69+BC73</f>
        <v>16707</v>
      </c>
      <c r="BD5" s="37">
        <f>BC5/CA5-1</f>
        <v>0.00168176054248059</v>
      </c>
      <c r="BE5" s="38">
        <f>BE9+BE13+BE17+BE21+BE25+BE29+BE33+BE37+BE41+BE45+BE49+BE53+BE57+BE61+BE65+BE69+BE73</f>
        <v>16350.94</v>
      </c>
      <c r="BF5" s="37">
        <f>BE5/CB5-1</f>
        <v>-0.00636618314626503</v>
      </c>
      <c r="BG5" s="38">
        <f>BG9+BG13+BG17+BG21+BG25+BG29+BG33+BG37+BG41+BG45+BG49+BG53+BG57+BG61+BG65+BG69+BG73</f>
        <v>15622.13</v>
      </c>
      <c r="BH5" s="37">
        <f>BG5/CC5-1</f>
        <v>-0.0174050324394531</v>
      </c>
      <c r="BI5" s="38">
        <f>BI9+BI13+BI17+BI21+BI25+BI29+BI33+BI37+BI41+BI45+BI49+BI53+BI57+BI61+BI65+BI69+BI73</f>
        <v>14819.73</v>
      </c>
      <c r="BJ5" s="37">
        <f>BI5/CD5-1</f>
        <v>-0.0319925118488364</v>
      </c>
      <c r="BK5" s="38">
        <f>BK9+BK13+BK17+BK21+BK25+BK29+BK33+BK37+BK41+BK45+BK49+BK53+BK57+BK61+BK65+BK69+BK73</f>
        <v>14021.8</v>
      </c>
      <c r="BL5" s="37">
        <f>BK5/CE5-1</f>
        <v>-0.0654077285258005</v>
      </c>
      <c r="BM5" s="38">
        <f>BM9+BM13+BM17+BM21+BM25+BM29+BM33+BM37+BM41+BM45+BM49+BM53+BM57+BM61+BM65+BM69+BM73</f>
        <v>15211.56</v>
      </c>
      <c r="BN5" s="37">
        <f>BM5/CF5-1</f>
        <v>-0.00620129513774526</v>
      </c>
      <c r="BO5" s="38">
        <f>BO9+BO13+BO17+BO21+BO25+BO29+BO33+BO37+BO41+BO45+BO49+BO53+BO57+BO61+BO65+BO69+BO73</f>
        <v>15919.81</v>
      </c>
      <c r="BP5" s="37">
        <f>BO5/CG5-1</f>
        <v>-0.0621597563942675</v>
      </c>
      <c r="BQ5" s="38">
        <f>BQ9+BQ13+BQ17+BQ21+BQ25+BQ29+BQ33+BQ37+BQ41+BQ45+BQ49+BQ53+BQ57+BQ61+BQ65+BQ69+BQ73</f>
        <v>16213.85</v>
      </c>
      <c r="BR5" s="37">
        <f>BQ5/CH5-1</f>
        <v>-0.0722091628633034</v>
      </c>
      <c r="BS5" s="38">
        <f>BS9+BS13+BS17+BS21+BS25+BS29+BS33+BS37+BS41+BS45+BS49+BS53+BS57+BS61+BS65+BS69+BS73</f>
        <v>17076.79</v>
      </c>
      <c r="BT5" s="37">
        <f>BS5/CI5-1</f>
        <v>-0.0377408354069747</v>
      </c>
      <c r="BU5" s="38">
        <f t="shared" ref="BU5:BU36" si="19">AW5+AY5+BA5+BC5+BE5+BG5+BI5+BK5+BM5+BO5+BQ5+BS5</f>
        <v>188317.01</v>
      </c>
      <c r="BV5" s="219">
        <f>BU5/CJ5-1</f>
        <v>-0.000605261149621561</v>
      </c>
      <c r="BW5" s="204"/>
      <c r="BX5" s="220">
        <f t="shared" ref="BX5:CI5" si="20">BX9+BX13+BX17+BX21+BX25+BX29+BX33+BX37+BX41+BX45+BX49+BX53+BX57+BX61+BX65+BX69+BX73</f>
        <v>11161.29</v>
      </c>
      <c r="BY5" s="195">
        <f t="shared" si="20"/>
        <v>14257.93</v>
      </c>
      <c r="BZ5" s="195">
        <f t="shared" si="20"/>
        <v>16161.93</v>
      </c>
      <c r="CA5" s="195">
        <f t="shared" si="20"/>
        <v>16678.95</v>
      </c>
      <c r="CB5" s="195">
        <f t="shared" si="20"/>
        <v>16455.7</v>
      </c>
      <c r="CC5" s="195">
        <f t="shared" si="20"/>
        <v>15898.85</v>
      </c>
      <c r="CD5" s="195">
        <f t="shared" si="20"/>
        <v>15309.52</v>
      </c>
      <c r="CE5" s="195">
        <f t="shared" si="20"/>
        <v>15003.12</v>
      </c>
      <c r="CF5" s="195">
        <f t="shared" si="20"/>
        <v>15306.48</v>
      </c>
      <c r="CG5" s="195">
        <f t="shared" si="20"/>
        <v>16974.97</v>
      </c>
      <c r="CH5" s="195">
        <f t="shared" si="20"/>
        <v>17475.76</v>
      </c>
      <c r="CI5" s="195">
        <f t="shared" si="20"/>
        <v>17746.56</v>
      </c>
      <c r="CJ5" s="38">
        <f>BX5+BY5+BZ5+CA5+CB5+CC5+CD5+CE5+CF5+CG5+CH5+CI5</f>
        <v>188431.06</v>
      </c>
    </row>
    <row r="6" s="206" customFormat="1" ht="27" customHeight="1" spans="1:88">
      <c r="A6" s="27"/>
      <c r="B6" s="34" t="s">
        <v>274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-0.00745304776985967</v>
      </c>
      <c r="O6" s="35">
        <f>O10+O14+O18+O22+O26+O30+O34+O38+O42+O46+O50+O54+O58+O62+O66+O70+O74</f>
        <v>87147.68</v>
      </c>
      <c r="P6" s="36">
        <f t="shared" si="6"/>
        <v>-0.0214398523193842</v>
      </c>
      <c r="Q6" s="175"/>
      <c r="R6" s="127"/>
      <c r="S6" s="35">
        <f t="shared" si="7"/>
        <v>655009.02</v>
      </c>
      <c r="T6" s="36">
        <f t="shared" si="8"/>
        <v>-0.154824148295119</v>
      </c>
      <c r="U6" s="38"/>
      <c r="V6" s="35">
        <f>V10+V14+V18+V22+V26+V30+V34+V38+V42+V46+V50+V54+V58+V62+V66+V70+V74</f>
        <v>100640.8</v>
      </c>
      <c r="W6" s="36">
        <f t="shared" si="9"/>
        <v>-0.0749335550386719</v>
      </c>
      <c r="X6" s="35">
        <f>X10+X14+X18+X22+X26+X30+X34+X38+X42+X46+X50+X54+X58+X62+X66+X70+X74</f>
        <v>94143.95</v>
      </c>
      <c r="Y6" s="36">
        <f>X6/AW6-1</f>
        <v>-0.134651064567084</v>
      </c>
      <c r="Z6" s="35">
        <f>Z10+Z14+Z18+Z22+Z26+Z30+Z34+Z38+Z42+Z46+Z50+Z54+Z58+Z62+Z66+Z70+Z74</f>
        <v>103313.37</v>
      </c>
      <c r="AA6" s="36">
        <f>Z6/AY6-1</f>
        <v>0.180746224186805</v>
      </c>
      <c r="AB6" s="35">
        <f>AB10+AB14+AB18+AB22+AB26+AB30+AB34+AB38+AB42+AB46+AB50+AB54+AB58+AB62+AB66+AB70+AB74</f>
        <v>103582.49</v>
      </c>
      <c r="AC6" s="36">
        <f>AB6/BA6-1</f>
        <v>-0.028105357677342</v>
      </c>
      <c r="AD6" s="35">
        <f>AD10+AD14+AD18+AD22+AD26+AD30+AD34+AD38+AD42+AD46+AD50+AD54+AD58+AD62+AD66+AD70+AD74</f>
        <v>102747.82</v>
      </c>
      <c r="AE6" s="36">
        <f>AD6/BC6-1</f>
        <v>-0.0517847266641116</v>
      </c>
      <c r="AF6" s="35">
        <f>AF10+AF14+AF18+AF22+AF26+AF30+AF34+AF38+AF42+AF46+AF50+AF54+AF58+AF62+AF66+AF70+AF74</f>
        <v>97421.89</v>
      </c>
      <c r="AG6" s="36">
        <f t="shared" si="10"/>
        <v>-0.0455671608583931</v>
      </c>
      <c r="AH6" s="35">
        <f>AH10+AH14+AH18+AH22+AH26+AH30+AH34+AH38+AH42+AH46+AH50+AH54+AH58+AH62+AH66+AH70+AH74</f>
        <v>89057.05</v>
      </c>
      <c r="AI6" s="36">
        <f t="shared" si="11"/>
        <v>-0.0858294560720652</v>
      </c>
      <c r="AJ6" s="35">
        <f>AJ10+AJ14+AJ18+AJ22+AJ26+AJ30+AJ34+AJ38+AJ42+AJ46+AJ50+AJ54+AJ58+AJ62+AJ66+AJ70+AJ74</f>
        <v>84089.95</v>
      </c>
      <c r="AK6" s="36">
        <f t="shared" si="12"/>
        <v>-0.092442488135856</v>
      </c>
      <c r="AL6" s="35">
        <f>AL10+AL14+AL18+AL22+AL26+AL30+AL34+AL38+AL42+AL46+AL50+AL54+AL58+AL62+AL66+AL70+AL74</f>
        <v>93172.51</v>
      </c>
      <c r="AM6" s="36">
        <f t="shared" si="13"/>
        <v>-0.0690183819201985</v>
      </c>
      <c r="AN6" s="35">
        <f>AN10+AN14+AN18+AN22+AN26+AN30+AN34+AN38+AN42+AN46+AN50+AN54+AN58+AN62+AN66+AN70+AN74</f>
        <v>96314.96</v>
      </c>
      <c r="AO6" s="36">
        <f t="shared" si="14"/>
        <v>-0.0797941963618627</v>
      </c>
      <c r="AP6" s="35">
        <f>AP10+AP14+AP18+AP22+AP26+AP30+AP34+AP38+AP42+AP46+AP50+AP54+AP58+AP62+AP66+AP70+AP74</f>
        <v>100261.54</v>
      </c>
      <c r="AQ6" s="36">
        <f t="shared" si="15"/>
        <v>-0.0507365294661495</v>
      </c>
      <c r="AR6" s="35">
        <f>AR10+AR14+AR18+AR22+AR26+AR30+AR34+AR38+AR42+AR46+AR50+AR54+AR58+AR62+AR66+AR70+AR74</f>
        <v>95516.56</v>
      </c>
      <c r="AS6" s="36">
        <f t="shared" si="16"/>
        <v>-0.139928079838295</v>
      </c>
      <c r="AT6" s="35">
        <f t="shared" si="17"/>
        <v>1160262.89</v>
      </c>
      <c r="AU6" s="36">
        <f t="shared" si="18"/>
        <v>-0.0577404855686874</v>
      </c>
      <c r="AV6" s="146"/>
      <c r="AW6" s="35">
        <f>AW10+AW14+AW18+AW22+AW26+AW30+AW34+AW38+AW42+AW46+AW50+AW54+AW58+AW62+AW66+AW70+AW74</f>
        <v>108793.05</v>
      </c>
      <c r="AX6" s="36"/>
      <c r="AY6" s="35">
        <f>AY10+AY14+AY18+AY22+AY26+AY30+AY34+AY38+AY42+AY46+AY50+AY54+AY58+AY62+AY66+AY70+AY74</f>
        <v>87498.37</v>
      </c>
      <c r="AZ6" s="36"/>
      <c r="BA6" s="35">
        <f>BA10+BA14+BA18+BA22+BA26+BA30+BA34+BA38+BA42+BA46+BA50+BA54+BA58+BA62+BA66+BA70+BA74</f>
        <v>106577.9</v>
      </c>
      <c r="BB6" s="36"/>
      <c r="BC6" s="35">
        <f>BC10+BC14+BC18+BC22+BC26+BC30+BC34+BC38+BC42+BC46+BC50+BC54+BC58+BC62+BC66+BC70+BC74</f>
        <v>108359.17</v>
      </c>
      <c r="BD6" s="36"/>
      <c r="BE6" s="35">
        <f>BE10+BE14+BE18+BE22+BE26+BE30+BE34+BE38+BE42+BE46+BE50+BE54+BE58+BE62+BE66+BE70+BE74</f>
        <v>106563.69</v>
      </c>
      <c r="BF6" s="36"/>
      <c r="BG6" s="35">
        <f>BG10+BG14+BG18+BG22+BG26+BG30+BG34+BG38+BG42+BG46+BG50+BG54+BG58+BG62+BG66+BG70+BG74</f>
        <v>102073.07</v>
      </c>
      <c r="BH6" s="36"/>
      <c r="BI6" s="35">
        <f>BI10+BI14+BI18+BI22+BI26+BI30+BI34+BI38+BI42+BI46+BI50+BI54+BI58+BI62+BI66+BI70+BI74</f>
        <v>97418.42</v>
      </c>
      <c r="BJ6" s="36"/>
      <c r="BK6" s="35">
        <f>BK10+BK14+BK18+BK22+BK26+BK30+BK34+BK38+BK42+BK46+BK50+BK54+BK58+BK62+BK66+BK70+BK74</f>
        <v>92655.23</v>
      </c>
      <c r="BL6" s="36"/>
      <c r="BM6" s="35">
        <f>BM10+BM14+BM18+BM22+BM26+BM30+BM34+BM38+BM42+BM46+BM50+BM54+BM58+BM62+BM66+BM70+BM74</f>
        <v>100079.86</v>
      </c>
      <c r="BN6" s="36"/>
      <c r="BO6" s="35">
        <f>BO10+BO14+BO18+BO22+BO26+BO30+BO34+BO38+BO42+BO46+BO50+BO54+BO58+BO62+BO66+BO70+BO74</f>
        <v>104666.76</v>
      </c>
      <c r="BP6" s="37"/>
      <c r="BQ6" s="35">
        <f>BQ10+BQ14+BQ18+BQ22+BQ26+BQ30+BQ34+BQ38+BQ42+BQ46+BQ50+BQ54+BQ58+BQ62+BQ66+BQ70+BQ74</f>
        <v>105620.35</v>
      </c>
      <c r="BR6" s="36"/>
      <c r="BS6" s="35">
        <f>BS10+BS14+BS18+BS22+BS26+BS30+BS34+BS38+BS42+BS46+BS50+BS54+BS58+BS62+BS66+BS70+BS74</f>
        <v>111056.48</v>
      </c>
      <c r="BT6" s="36"/>
      <c r="BU6" s="35">
        <f t="shared" si="19"/>
        <v>1231362.35</v>
      </c>
      <c r="BV6" s="221"/>
      <c r="BW6" s="222"/>
      <c r="BX6" s="223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7"/>
    </row>
    <row r="7" s="206" customFormat="1" ht="27" customHeight="1" spans="1:88">
      <c r="A7" s="27"/>
      <c r="B7" s="34" t="s">
        <v>275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-0.0646754699420657</v>
      </c>
      <c r="I7" s="35">
        <f>I11+I15+I19+I23+I27+I31+I35+I39+I43+I47+I51+I55+I59+I63+I67+I71+I75</f>
        <v>13572.3</v>
      </c>
      <c r="J7" s="36">
        <f t="shared" si="3"/>
        <v>-0.0412936739637023</v>
      </c>
      <c r="K7" s="35">
        <f>K11+K15+K19+K23+K27+K31+K35+K39+K43+K47+K51+K55+K59+K63+K67+K71+K75</f>
        <v>13304.09</v>
      </c>
      <c r="L7" s="36">
        <f t="shared" si="4"/>
        <v>-0.0318799259797744</v>
      </c>
      <c r="M7" s="35">
        <f>M11+M15+M19+M23+M27+M31+M35+M39+M43+M47+M51+M55+M59+M63+M67+M71+M75</f>
        <v>13092.81</v>
      </c>
      <c r="N7" s="36">
        <f t="shared" si="5"/>
        <v>0.0131526816086864</v>
      </c>
      <c r="O7" s="35">
        <f>O11+O15+O19+O23+O27+O31+O35+O39+O43+O47+O51+O55+O59+O63+O67+O71+O75</f>
        <v>11508.07</v>
      </c>
      <c r="P7" s="36">
        <f t="shared" si="6"/>
        <v>-0.00540679288854617</v>
      </c>
      <c r="Q7" s="175"/>
      <c r="R7" s="127"/>
      <c r="S7" s="35">
        <f t="shared" si="7"/>
        <v>88266.88</v>
      </c>
      <c r="T7" s="36">
        <f t="shared" si="8"/>
        <v>-0.151336550362557</v>
      </c>
      <c r="U7" s="38"/>
      <c r="V7" s="35">
        <f>V11+V15+V19+V23+V27+V31+V35+V39+V43+V47+V51+V55+V59+V63+V67+V71+V75</f>
        <v>13935.41</v>
      </c>
      <c r="W7" s="36">
        <f t="shared" si="9"/>
        <v>-0.106877958960535</v>
      </c>
      <c r="X7" s="35">
        <f>X11+X15+X19+X23+X27+X31+X35+X39+X43+X47+X51+X55+X59+X63+X67+X71+X75</f>
        <v>12513.29</v>
      </c>
      <c r="Y7" s="36">
        <f>X7/AY7-1</f>
        <v>0.0302022650258018</v>
      </c>
      <c r="Z7" s="35">
        <f>Z11+Z15+Z19+Z23+Z27+Z31+Z35+Z39+Z43+Z47+Z51+Z55+Z59+Z63+Z67+Z71+Z75</f>
        <v>14053.86</v>
      </c>
      <c r="AA7" s="36">
        <f>Z7/BA7-1</f>
        <v>-0.0920809860974726</v>
      </c>
      <c r="AB7" s="35">
        <f>AB11+AB15+AB19+AB23+AB27+AB31+AB35+AB39+AB43+AB47+AB51+AB55+AB59+AB63+AB67+AB71+AB75</f>
        <v>14156.89</v>
      </c>
      <c r="AC7" s="36">
        <f>AB7/BC7-1</f>
        <v>-0.0920460900662389</v>
      </c>
      <c r="AD7" s="35">
        <f>AD11+AD15+AD19+AD23+AD27+AD31+AD35+AD39+AD43+AD47+AD51+AD55+AD59+AD63+AD67+AD71+AD75</f>
        <v>13742.19</v>
      </c>
      <c r="AE7" s="36">
        <f>AD7/BE7-1</f>
        <v>-0.0980329224589455</v>
      </c>
      <c r="AF7" s="35">
        <f>AF11+AF15+AF19+AF23+AF27+AF31+AF35+AF39+AF43+AF47+AF51+AF55+AF59+AF63+AF67+AF71+AF75</f>
        <v>12922.84</v>
      </c>
      <c r="AG7" s="36">
        <f t="shared" si="10"/>
        <v>-0.110982389349543</v>
      </c>
      <c r="AH7" s="35">
        <f>AH11+AH15+AH19+AH23+AH27+AH31+AH35+AH39+AH43+AH47+AH51+AH55+AH59+AH63+AH67+AH71+AH75</f>
        <v>11570.63</v>
      </c>
      <c r="AI7" s="36">
        <f t="shared" si="11"/>
        <v>-0.156880233233432</v>
      </c>
      <c r="AJ7" s="35">
        <f>AJ11+AJ15+AJ19+AJ23+AJ27+AJ31+AJ35+AJ39+AJ43+AJ47+AJ51+AJ55+AJ59+AJ63+AJ67+AJ71+AJ75</f>
        <v>11111.82</v>
      </c>
      <c r="AK7" s="36">
        <f t="shared" si="12"/>
        <v>-0.140270751014136</v>
      </c>
      <c r="AL7" s="35">
        <f>AL11+AL15+AL19+AL23+AL27+AL31+AL35+AL39+AL43+AL47+AL51+AL55+AL59+AL63+AL67+AL71+AL75</f>
        <v>12745.25</v>
      </c>
      <c r="AM7" s="36">
        <f t="shared" si="13"/>
        <v>-0.0971451361197908</v>
      </c>
      <c r="AN7" s="35">
        <f>AN11+AN15+AN19+AN23+AN27+AN31+AN35+AN39+AN43+AN47+AN51+AN55+AN59+AN63+AN67+AN71+AN75</f>
        <v>13176.7</v>
      </c>
      <c r="AO7" s="36">
        <f t="shared" si="14"/>
        <v>-0.10743836361555</v>
      </c>
      <c r="AP7" s="35">
        <f>AP11+AP15+AP19+AP23+AP27+AP31+AP35+AP39+AP43+AP47+AP51+AP55+AP59+AP63+AP67+AP71+AP75</f>
        <v>14070.81</v>
      </c>
      <c r="AQ7" s="36">
        <f t="shared" si="15"/>
        <v>-0.0682693453760478</v>
      </c>
      <c r="AR7" s="35">
        <f>AR11+AR15+AR19+AR23+AR27+AR31+AR35+AR39+AR43+AR47+AR51+AR55+AR59+AR63+AR67+AR71+AR75</f>
        <v>13306.08</v>
      </c>
      <c r="AS7" s="36">
        <f t="shared" si="16"/>
        <v>-0.167386475273917</v>
      </c>
      <c r="AT7" s="35">
        <f t="shared" si="17"/>
        <v>157305.77</v>
      </c>
      <c r="AU7" s="36">
        <f t="shared" si="18"/>
        <v>-0.102153029976829</v>
      </c>
      <c r="AV7" s="47"/>
      <c r="AW7" s="35">
        <f>AW11+AW15+AW19+AW23+AW27+AW31+AW35+AW39+AW43+AW47+AW51+AW55+AW59+AW63+AW67+AW71+AW75</f>
        <v>15603.03</v>
      </c>
      <c r="AX7" s="36"/>
      <c r="AY7" s="35">
        <f>AY11+AY15+AY19+AY23+AY27+AY31+AY35+AY39+AY43+AY47+AY51+AY55+AY59+AY63+AY67+AY71+AY75</f>
        <v>12146.44</v>
      </c>
      <c r="AZ7" s="36"/>
      <c r="BA7" s="35">
        <f>BA11+BA15+BA19+BA23+BA27+BA31+BA35+BA39+BA43+BA47+BA51+BA55+BA59+BA63+BA67+BA71+BA75</f>
        <v>15479.2</v>
      </c>
      <c r="BB7" s="36"/>
      <c r="BC7" s="35">
        <f>BC11+BC15+BC19+BC23+BC27+BC31+BC35+BC39+BC43+BC47+BC51+BC55+BC59+BC63+BC67+BC71+BC75</f>
        <v>15592.08</v>
      </c>
      <c r="BD7" s="36"/>
      <c r="BE7" s="35">
        <f>BE11+BE15+BE19+BE23+BE27+BE31+BE35+BE39+BE43+BE47+BE51+BE55+BE59+BE63+BE67+BE71+BE75</f>
        <v>15235.8</v>
      </c>
      <c r="BF7" s="36"/>
      <c r="BG7" s="35">
        <f>BG11+BG15+BG19+BG23+BG27+BG31+BG35+BG39+BG43+BG47+BG51+BG55+BG59+BG63+BG67+BG71+BG75</f>
        <v>14536.09</v>
      </c>
      <c r="BH7" s="36"/>
      <c r="BI7" s="35">
        <f>BI11+BI15+BI19+BI23+BI27+BI31+BI35+BI39+BI43+BI47+BI51+BI55+BI59+BI63+BI67+BI71+BI75</f>
        <v>13723.59</v>
      </c>
      <c r="BJ7" s="36">
        <f>BI7/CD7-1</f>
        <v>-0.0365035914552081</v>
      </c>
      <c r="BK7" s="35">
        <f>BK11+BK15+BK19+BK23+BK27+BK31+BK35+BK39+BK43+BK47+BK51+BK55+BK59+BK63+BK67+BK71+BK75</f>
        <v>12924.79</v>
      </c>
      <c r="BL7" s="36">
        <f>BK7/CE7-1</f>
        <v>-0.0717823719810891</v>
      </c>
      <c r="BM7" s="35">
        <f>BM11+BM15+BM19+BM23+BM27+BM31+BM35+BM39+BM43+BM47+BM51+BM55+BM59+BM63+BM67+BM71+BM75</f>
        <v>14116.61</v>
      </c>
      <c r="BN7" s="36">
        <f>BM7/CF7-1</f>
        <v>-0.00623644862444717</v>
      </c>
      <c r="BO7" s="35">
        <f>BO11+BO15+BO19+BO23+BO27+BO31+BO35+BO39+BO43+BO47+BO51+BO55+BO59+BO63+BO67+BO71+BO75</f>
        <v>14762.79</v>
      </c>
      <c r="BP7" s="36">
        <f>BO7/CG7-1</f>
        <v>-0.0700610582292548</v>
      </c>
      <c r="BQ7" s="35">
        <f>BQ11+BQ15+BQ19+BQ23+BQ27+BQ31+BQ35+BQ39+BQ43+BQ47+BQ51+BQ55+BQ59+BQ63+BQ67+BQ71+BQ75</f>
        <v>15101.8</v>
      </c>
      <c r="BR7" s="36">
        <f>BQ7/CH7-1</f>
        <v>-0.0760085143926644</v>
      </c>
      <c r="BS7" s="35">
        <f>BS11+BS15+BS19+BS23+BS27+BS31+BS35+BS39+BS43+BS47+BS51+BS55+BS59+BS63+BS67+BS71+BS75</f>
        <v>15981.1</v>
      </c>
      <c r="BT7" s="36">
        <f>BS7/CI7-1</f>
        <v>-0.0343553678109593</v>
      </c>
      <c r="BU7" s="35">
        <f t="shared" si="19"/>
        <v>175203.32</v>
      </c>
      <c r="BV7" s="221"/>
      <c r="BW7" s="222"/>
      <c r="BX7" s="223"/>
      <c r="BY7" s="46"/>
      <c r="BZ7" s="46"/>
      <c r="CA7" s="46"/>
      <c r="CB7" s="46"/>
      <c r="CC7" s="46"/>
      <c r="CD7" s="41">
        <f t="shared" ref="CD7:CI7" si="21">CD11+CD15+CD19+CD23+CD27+CD31+CD35+CD39+CD43+CD47+CD51+CD55+CD59+CD63+CD67+CD71+CD75</f>
        <v>14243.53</v>
      </c>
      <c r="CE7" s="41">
        <f t="shared" si="21"/>
        <v>13924.31</v>
      </c>
      <c r="CF7" s="41">
        <f t="shared" si="21"/>
        <v>14205.2</v>
      </c>
      <c r="CG7" s="41">
        <f t="shared" si="21"/>
        <v>15875.01</v>
      </c>
      <c r="CH7" s="41">
        <f t="shared" si="21"/>
        <v>16344.09</v>
      </c>
      <c r="CI7" s="41">
        <f t="shared" si="21"/>
        <v>16549.67</v>
      </c>
      <c r="CJ7" s="35">
        <f>BX7+BY7+BZ7+CA7+CB7+CC7+CD7+CE7+CF7+CG7+CH7+CI7</f>
        <v>91141.81</v>
      </c>
    </row>
    <row r="8" s="206" customFormat="1" ht="27" customHeight="1" spans="1:88">
      <c r="A8" s="42"/>
      <c r="B8" s="34" t="s">
        <v>276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-0.0261036734839948</v>
      </c>
      <c r="I8" s="35">
        <f>I12+I16+I20+I24+I28+I32+I36+I40+I44+I48+I52+I56+I60+I64+I68+I72+I76</f>
        <v>69820.39</v>
      </c>
      <c r="J8" s="36">
        <f t="shared" si="3"/>
        <v>-0.00442417054110145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175"/>
      <c r="R8" s="127"/>
      <c r="S8" s="35">
        <f t="shared" si="7"/>
        <v>455112.93</v>
      </c>
      <c r="T8" s="36">
        <f t="shared" si="8"/>
        <v>-0.129405699401453</v>
      </c>
      <c r="U8" s="38"/>
      <c r="V8" s="35">
        <f>V12+V16+V20+V24+V28+V32+V36+V40+V44+V48+V52+V56+V60+V64+V68+V72+V76</f>
        <v>70705.32</v>
      </c>
      <c r="W8" s="36">
        <f t="shared" si="9"/>
        <v>-0.099788281551288</v>
      </c>
      <c r="X8" s="35">
        <f>X12+X16+X20+X24+X28+X32+X36+X40+X44+X48+X52+X56+X60+X64+X68+X72+X76</f>
        <v>64413.21</v>
      </c>
      <c r="Y8" s="36">
        <f>X8/AY8-1</f>
        <v>0.0512584116066463</v>
      </c>
      <c r="Z8" s="35">
        <f>Z12+Z16+Z20+Z24+Z28+Z32+Z36+Z40+Z44+Z48+Z52+Z56+Z60+Z64+Z68+Z72+Z76</f>
        <v>69858.75</v>
      </c>
      <c r="AA8" s="36">
        <f>Z8/BA8-1</f>
        <v>-0.101845428252288</v>
      </c>
      <c r="AB8" s="35">
        <f>AB12+AB16+AB20+AB24+AB28+AB32+AB36+AB40+AB44+AB48+AB52+AB56+AB60+AB64+AB68+AB72+AB76</f>
        <v>70130.66</v>
      </c>
      <c r="AC8" s="36">
        <f>AB8/BC8-1</f>
        <v>-0.103470748723356</v>
      </c>
      <c r="AD8" s="35">
        <f>AD12+AD16+AD20+AD24+AD28+AD32+AD36+AD40+AD44+AD48+AD52+AD56+AD60+AD64+AD68+AD72+AD76</f>
        <v>68226.71</v>
      </c>
      <c r="AE8" s="36">
        <f>AD8/BE8-1</f>
        <v>-0.109611659468698</v>
      </c>
      <c r="AF8" s="35">
        <f>AF12+AF16+AF20+AF24+AF28+AF32+AF36+AF40+AF44+AF48+AF52+AF56+AF60+AF64+AF68+AF72+AF76</f>
        <v>64036.58</v>
      </c>
      <c r="AG8" s="36">
        <f t="shared" si="10"/>
        <v>-0.129792343013846</v>
      </c>
      <c r="AH8" s="35">
        <f>AH12+AH16+AH20+AH24+AH28+AH32+AH36+AH40+AH44+AH48+AH52+AH56+AH60+AH64+AH68+AH72+AH76</f>
        <v>58767.17</v>
      </c>
      <c r="AI8" s="36">
        <f t="shared" si="11"/>
        <v>-0.154477993428005</v>
      </c>
      <c r="AJ8" s="35">
        <f>AJ12+AJ16+AJ20+AJ24+AJ28+AJ32+AJ36+AJ40+AJ44+AJ48+AJ52+AJ56+AJ60+AJ64+AJ68+AJ72+AJ76</f>
        <v>56622.81</v>
      </c>
      <c r="AK8" s="36">
        <f t="shared" si="12"/>
        <v>-0.138893979263613</v>
      </c>
      <c r="AL8" s="35">
        <f>AL12+AL16+AL20+AL24+AL28+AL32+AL36+AL40+AL44+AL48+AL52+AL56+AL60+AL64+AL68+AL72+AL76</f>
        <v>64777.25</v>
      </c>
      <c r="AM8" s="36">
        <f t="shared" si="13"/>
        <v>-0.0903977705795357</v>
      </c>
      <c r="AN8" s="35">
        <f>AN12+AN16+AN20+AN24+AN28+AN32+AN36+AN40+AN44+AN48+AN52+AN56+AN60+AN64+AN68+AN72+AN76</f>
        <v>68280.55</v>
      </c>
      <c r="AO8" s="36">
        <f t="shared" si="14"/>
        <v>-0.090341012793475</v>
      </c>
      <c r="AP8" s="35">
        <f>AP12+AP16+AP20+AP24+AP28+AP32+AP36+AP40+AP44+AP48+AP52+AP56+AP60+AP64+AP68+AP72+AP76</f>
        <v>72321.95</v>
      </c>
      <c r="AQ8" s="36">
        <f t="shared" si="15"/>
        <v>-0.0548542225131</v>
      </c>
      <c r="AR8" s="35">
        <f>AR12+AR16+AR20+AR24+AR28+AR32+AR36+AR40+AR44+AR48+AR52+AR56+AR60+AR64+AR68+AR72+AR76</f>
        <v>68511.18</v>
      </c>
      <c r="AS8" s="36">
        <f t="shared" si="16"/>
        <v>-0.162731065319906</v>
      </c>
      <c r="AT8" s="35">
        <f t="shared" si="17"/>
        <v>796652.14</v>
      </c>
      <c r="AU8" s="36">
        <f t="shared" si="18"/>
        <v>-0.100759611989284</v>
      </c>
      <c r="AV8" s="47"/>
      <c r="AW8" s="35">
        <f>AW12+AW16+AW20+AW24+AW28+AW32+AW36+AW40+AW44+AW48+AW52+AW56+AW60+AW64+AW68+AW72+AW76</f>
        <v>78542.99</v>
      </c>
      <c r="AX8" s="36"/>
      <c r="AY8" s="35">
        <f>AY12+AY16+AY20+AY24+AY28+AY32+AY36+AY40+AY44+AY48+AY52+AY56+AY60+AY64+AY68+AY72+AY76</f>
        <v>61272.48</v>
      </c>
      <c r="AZ8" s="36"/>
      <c r="BA8" s="35">
        <f>BA12+BA16+BA20+BA24+BA28+BA32+BA36+BA40+BA44+BA48+BA52+BA56+BA60+BA64+BA68+BA72+BA76</f>
        <v>77780.32</v>
      </c>
      <c r="BB8" s="36"/>
      <c r="BC8" s="35">
        <f>BC12+BC16+BC20+BC24+BC28+BC32+BC36+BC40+BC44+BC48+BC52+BC56+BC60+BC64+BC68+BC72+BC76</f>
        <v>78224.62</v>
      </c>
      <c r="BD8" s="36"/>
      <c r="BE8" s="35">
        <f>BE12+BE16+BE20+BE24+BE28+BE32+BE36+BE40+BE44+BE48+BE52+BE56+BE60+BE64+BE68+BE72+BE76</f>
        <v>76625.79</v>
      </c>
      <c r="BF8" s="36"/>
      <c r="BG8" s="35">
        <f>BG12+BG16+BG20+BG24+BG28+BG32+BG36+BG40+BG44+BG48+BG52+BG56+BG60+BG64+BG68+BG72+BG76</f>
        <v>73587.7</v>
      </c>
      <c r="BH8" s="36"/>
      <c r="BI8" s="35">
        <f>BI12+BI16+BI20+BI24+BI28+BI32+BI36+BI40+BI44+BI48+BI52+BI56+BI60+BI64+BI68+BI72+BI76</f>
        <v>69504.01</v>
      </c>
      <c r="BJ8" s="36"/>
      <c r="BK8" s="35">
        <f>BK12+BK16+BK20+BK24+BK28+BK32+BK36+BK40+BK44+BK48+BK52+BK56+BK60+BK64+BK68+BK72+BK76</f>
        <v>65755.91</v>
      </c>
      <c r="BL8" s="36"/>
      <c r="BM8" s="35">
        <f>BM12+BM16+BM20+BM24+BM28+BM32+BM36+BM40+BM44+BM48+BM52+BM56+BM60+BM64+BM68+BM72+BM76</f>
        <v>71214.92</v>
      </c>
      <c r="BN8" s="36"/>
      <c r="BO8" s="35">
        <f>BO12+BO16+BO20+BO24+BO28+BO32+BO36+BO40+BO44+BO48+BO52+BO56+BO60+BO64+BO68+BO72+BO76</f>
        <v>75061.7</v>
      </c>
      <c r="BP8" s="37"/>
      <c r="BQ8" s="35">
        <f>BQ12+BQ16+BQ20+BQ24+BQ28+BQ32+BQ36+BQ40+BQ44+BQ48+BQ52+BQ56+BQ60+BQ64+BQ68+BQ72+BQ76</f>
        <v>76519.36</v>
      </c>
      <c r="BR8" s="36"/>
      <c r="BS8" s="35">
        <f>BS12+BS16+BS20+BS24+BS28+BS32+BS36+BS40+BS44+BS48+BS52+BS56+BS60+BS64+BS68+BS72+BS76</f>
        <v>81826.97</v>
      </c>
      <c r="BT8" s="36"/>
      <c r="BU8" s="35">
        <f t="shared" si="19"/>
        <v>885916.77</v>
      </c>
      <c r="BV8" s="221"/>
      <c r="BW8" s="222"/>
      <c r="BX8" s="223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7"/>
    </row>
    <row r="9" s="205" customFormat="1" ht="27" customHeight="1" spans="1:88">
      <c r="A9" s="43" t="s">
        <v>87</v>
      </c>
      <c r="B9" s="34" t="s">
        <v>273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224">
        <v>4970.63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175"/>
      <c r="R9" s="127"/>
      <c r="S9" s="103">
        <f t="shared" si="7"/>
        <v>33078.55</v>
      </c>
      <c r="T9" s="104">
        <f t="shared" si="8"/>
        <v>-0.139024040449945</v>
      </c>
      <c r="U9" s="38"/>
      <c r="V9" s="35">
        <v>4743.96</v>
      </c>
      <c r="W9" s="36">
        <f t="shared" si="9"/>
        <v>-0.195439883046093</v>
      </c>
      <c r="X9" s="35">
        <v>4370.23</v>
      </c>
      <c r="Y9" s="36">
        <f>X9/AY9-1</f>
        <v>0.112283854153411</v>
      </c>
      <c r="Z9" s="35">
        <v>5621.15</v>
      </c>
      <c r="AA9" s="36">
        <f>Z9/BA9-1</f>
        <v>-0.124765471120834</v>
      </c>
      <c r="AB9" s="35">
        <v>5563.83</v>
      </c>
      <c r="AC9" s="36">
        <f>AB9/BC9-1</f>
        <v>-0.113912821901228</v>
      </c>
      <c r="AD9" s="35">
        <v>5233.17</v>
      </c>
      <c r="AE9" s="36">
        <f>AD9/BE9-1</f>
        <v>-0.125265353743703</v>
      </c>
      <c r="AF9" s="224">
        <v>4782.98</v>
      </c>
      <c r="AG9" s="36">
        <f t="shared" si="10"/>
        <v>-0.127733026467204</v>
      </c>
      <c r="AH9" s="35">
        <v>4169.13</v>
      </c>
      <c r="AI9" s="36">
        <f t="shared" si="11"/>
        <v>-0.164022193125104</v>
      </c>
      <c r="AJ9" s="35">
        <v>3935.38</v>
      </c>
      <c r="AK9" s="36">
        <f t="shared" si="12"/>
        <v>-0.132679508088332</v>
      </c>
      <c r="AL9" s="35">
        <v>4943.69</v>
      </c>
      <c r="AM9" s="36">
        <f t="shared" si="13"/>
        <v>-0.0868827206099652</v>
      </c>
      <c r="AN9" s="35">
        <v>5105.99</v>
      </c>
      <c r="AO9" s="36">
        <f t="shared" si="14"/>
        <v>-0.106457111257332</v>
      </c>
      <c r="AP9" s="35">
        <v>5585.43</v>
      </c>
      <c r="AQ9" s="36">
        <f t="shared" si="15"/>
        <v>-0.0235484158576815</v>
      </c>
      <c r="AR9" s="35">
        <v>5232.59</v>
      </c>
      <c r="AS9" s="36">
        <f t="shared" si="16"/>
        <v>-0.0991247068869935</v>
      </c>
      <c r="AT9" s="35">
        <f t="shared" si="17"/>
        <v>59287.53</v>
      </c>
      <c r="AU9" s="36">
        <f t="shared" si="18"/>
        <v>-0.104070430946627</v>
      </c>
      <c r="AV9" s="44"/>
      <c r="AW9" s="38">
        <v>5896.34</v>
      </c>
      <c r="AX9" s="37">
        <f>AW9/BX9-1</f>
        <v>0.716042735614856</v>
      </c>
      <c r="AY9" s="38">
        <v>3929.06</v>
      </c>
      <c r="AZ9" s="37">
        <f>AY9/BY9-1</f>
        <v>-0.227929314068214</v>
      </c>
      <c r="BA9" s="38">
        <v>6422.45</v>
      </c>
      <c r="BB9" s="37">
        <f>BA9/BZ9-1</f>
        <v>-0.00627571363807278</v>
      </c>
      <c r="BC9" s="38">
        <v>6279.1</v>
      </c>
      <c r="BD9" s="37">
        <f>BC9/CA9-1</f>
        <v>-0.0101630469908899</v>
      </c>
      <c r="BE9" s="38">
        <v>5982.58</v>
      </c>
      <c r="BF9" s="37">
        <f>BE9/CB9-1</f>
        <v>-0.0374337917763433</v>
      </c>
      <c r="BG9" s="38">
        <v>5483.39</v>
      </c>
      <c r="BH9" s="37">
        <f>BG9/CC9-1</f>
        <v>-0.0725422341296419</v>
      </c>
      <c r="BI9" s="38">
        <v>4987.13</v>
      </c>
      <c r="BJ9" s="37">
        <f>BI9/CD9-1</f>
        <v>-0.0950967388405128</v>
      </c>
      <c r="BK9" s="38">
        <v>4537.4</v>
      </c>
      <c r="BL9" s="37">
        <f>BK9/CE9-1</f>
        <v>-0.180915589573254</v>
      </c>
      <c r="BM9" s="38">
        <v>5414.08</v>
      </c>
      <c r="BN9" s="37">
        <f>BM9/CF9-1</f>
        <v>0.0426088329655179</v>
      </c>
      <c r="BO9" s="38">
        <v>5714.32</v>
      </c>
      <c r="BP9" s="37">
        <f>BO9/CG9-1</f>
        <v>-0.101623715554214</v>
      </c>
      <c r="BQ9" s="38">
        <v>5720.13</v>
      </c>
      <c r="BR9" s="37">
        <f>BQ9/CH9-1</f>
        <v>-0.121559840840089</v>
      </c>
      <c r="BS9" s="38">
        <v>5808.34</v>
      </c>
      <c r="BT9" s="37">
        <f>BS9/CI9-1</f>
        <v>-0.129173963106004</v>
      </c>
      <c r="BU9" s="38">
        <f t="shared" si="19"/>
        <v>66174.32</v>
      </c>
      <c r="BV9" s="219">
        <f>BU9/CJ9-1</f>
        <v>-0.0443462553585036</v>
      </c>
      <c r="BW9" s="204"/>
      <c r="BX9" s="220">
        <v>3436.01</v>
      </c>
      <c r="BY9" s="195">
        <v>5088.99</v>
      </c>
      <c r="BZ9" s="195">
        <v>6463.01</v>
      </c>
      <c r="CA9" s="195">
        <v>6343.57</v>
      </c>
      <c r="CB9" s="195">
        <v>6215.24</v>
      </c>
      <c r="CC9" s="195">
        <v>5912.28</v>
      </c>
      <c r="CD9" s="195">
        <v>5511.23</v>
      </c>
      <c r="CE9" s="195">
        <v>5539.6</v>
      </c>
      <c r="CF9" s="195">
        <v>5192.82</v>
      </c>
      <c r="CG9" s="195">
        <v>6360.72</v>
      </c>
      <c r="CH9" s="195">
        <v>6511.69</v>
      </c>
      <c r="CI9" s="195">
        <v>6669.92</v>
      </c>
      <c r="CJ9" s="38">
        <f>BX9+BY9+BZ9+CA9+CB9+CC9+CD9+CE9+CF9+CG9+CH9+CI9</f>
        <v>69245.08</v>
      </c>
    </row>
    <row r="10" s="206" customFormat="1" ht="27" customHeight="1" spans="1:88">
      <c r="A10" s="45"/>
      <c r="B10" s="34" t="s">
        <v>274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224">
        <v>26403.98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175"/>
      <c r="R10" s="127"/>
      <c r="S10" s="35">
        <f t="shared" si="7"/>
        <v>175728.08</v>
      </c>
      <c r="T10" s="36">
        <f t="shared" si="8"/>
        <v>-0.136659801334765</v>
      </c>
      <c r="U10" s="38"/>
      <c r="V10" s="35">
        <v>25085.28</v>
      </c>
      <c r="W10" s="36">
        <f t="shared" si="9"/>
        <v>-0.195516622650677</v>
      </c>
      <c r="X10" s="35">
        <v>23109.27</v>
      </c>
      <c r="Y10" s="36">
        <f>X10/AW10-1</f>
        <v>-0.258887141077261</v>
      </c>
      <c r="Z10" s="35">
        <v>29728.89</v>
      </c>
      <c r="AA10" s="36">
        <f>Z10/AY10-1</f>
        <v>0.430954929734746</v>
      </c>
      <c r="AB10" s="35">
        <v>29427.17</v>
      </c>
      <c r="AC10" s="36">
        <f>AB10/BA10-1</f>
        <v>-0.133701062503165</v>
      </c>
      <c r="AD10" s="35">
        <v>27675.91</v>
      </c>
      <c r="AE10" s="36">
        <f>AD10/BC10-1</f>
        <v>-0.166627972977653</v>
      </c>
      <c r="AF10" s="224">
        <v>25294.47</v>
      </c>
      <c r="AG10" s="36">
        <f t="shared" si="10"/>
        <v>-0.127729072042226</v>
      </c>
      <c r="AH10" s="35">
        <v>22413.35</v>
      </c>
      <c r="AI10" s="36">
        <f t="shared" si="11"/>
        <v>-0.150098400937369</v>
      </c>
      <c r="AJ10" s="35">
        <v>20810.08</v>
      </c>
      <c r="AK10" s="36">
        <f t="shared" si="12"/>
        <v>-0.132684578891016</v>
      </c>
      <c r="AL10" s="35">
        <v>26146.38</v>
      </c>
      <c r="AM10" s="36">
        <f t="shared" si="13"/>
        <v>-0.0868990815691865</v>
      </c>
      <c r="AN10" s="35">
        <v>27005.22</v>
      </c>
      <c r="AO10" s="36">
        <f t="shared" si="14"/>
        <v>-0.106430077440993</v>
      </c>
      <c r="AP10" s="35">
        <v>29546.41</v>
      </c>
      <c r="AQ10" s="36">
        <f t="shared" si="15"/>
        <v>-0.0233999331005514</v>
      </c>
      <c r="AR10" s="35">
        <v>27676.6</v>
      </c>
      <c r="AS10" s="36">
        <f t="shared" si="16"/>
        <v>-0.0991220894862641</v>
      </c>
      <c r="AT10" s="35">
        <f t="shared" si="17"/>
        <v>313919.03</v>
      </c>
      <c r="AU10" s="36">
        <f t="shared" si="18"/>
        <v>-0.103012856884019</v>
      </c>
      <c r="AV10" s="47"/>
      <c r="AW10" s="35">
        <v>31181.85</v>
      </c>
      <c r="AX10" s="36"/>
      <c r="AY10" s="35">
        <v>20775.56</v>
      </c>
      <c r="AZ10" s="36"/>
      <c r="BA10" s="35">
        <v>33968.84</v>
      </c>
      <c r="BB10" s="36"/>
      <c r="BC10" s="35">
        <v>33209.55</v>
      </c>
      <c r="BD10" s="36"/>
      <c r="BE10" s="35">
        <v>31638.31</v>
      </c>
      <c r="BF10" s="36"/>
      <c r="BG10" s="35">
        <v>28998.41</v>
      </c>
      <c r="BH10" s="36"/>
      <c r="BI10" s="35">
        <v>26371.7</v>
      </c>
      <c r="BJ10" s="36"/>
      <c r="BK10" s="35">
        <v>23993.67</v>
      </c>
      <c r="BL10" s="36"/>
      <c r="BM10" s="35">
        <v>28634.71</v>
      </c>
      <c r="BN10" s="36"/>
      <c r="BO10" s="35">
        <v>30221.72</v>
      </c>
      <c r="BP10" s="37"/>
      <c r="BQ10" s="35">
        <v>30254.36</v>
      </c>
      <c r="BR10" s="36"/>
      <c r="BS10" s="35">
        <v>30721.81</v>
      </c>
      <c r="BT10" s="36"/>
      <c r="BU10" s="35">
        <f t="shared" si="19"/>
        <v>349970.49</v>
      </c>
      <c r="BV10" s="221"/>
      <c r="BW10" s="222"/>
      <c r="BX10" s="223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7"/>
    </row>
    <row r="11" s="206" customFormat="1" ht="27" customHeight="1" spans="1:88">
      <c r="A11" s="45"/>
      <c r="B11" s="34" t="s">
        <v>275</v>
      </c>
      <c r="C11" s="35">
        <v>4796.5</v>
      </c>
      <c r="D11" s="36">
        <f t="shared" si="0"/>
        <v>0.0153407154484624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-0.0720287214660809</v>
      </c>
      <c r="I11" s="35">
        <v>5245.79</v>
      </c>
      <c r="J11" s="36">
        <f t="shared" si="3"/>
        <v>-0.053422593538259</v>
      </c>
      <c r="K11" s="35">
        <v>5095.37</v>
      </c>
      <c r="L11" s="36">
        <f t="shared" si="4"/>
        <v>-0.0225591169717072</v>
      </c>
      <c r="M11" s="224">
        <v>4946.86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175"/>
      <c r="R11" s="127"/>
      <c r="S11" s="35">
        <f t="shared" si="7"/>
        <v>32906.14</v>
      </c>
      <c r="T11" s="36">
        <f t="shared" si="8"/>
        <v>-0.139600561534666</v>
      </c>
      <c r="U11" s="38"/>
      <c r="V11" s="35">
        <v>4724.03</v>
      </c>
      <c r="W11" s="36">
        <f t="shared" si="9"/>
        <v>-0.195017798445597</v>
      </c>
      <c r="X11" s="35">
        <v>4351.68</v>
      </c>
      <c r="Y11" s="36">
        <f>X11/AY11-1</f>
        <v>0.112688444780821</v>
      </c>
      <c r="Z11" s="35">
        <v>5598.6</v>
      </c>
      <c r="AA11" s="36">
        <f>Z11/BA11-1</f>
        <v>-0.124300633945903</v>
      </c>
      <c r="AB11" s="35">
        <v>5541.85</v>
      </c>
      <c r="AC11" s="36">
        <f>AB11/BC11-1</f>
        <v>-0.11344017558903</v>
      </c>
      <c r="AD11" s="35">
        <v>5212.97</v>
      </c>
      <c r="AE11" s="36">
        <f>AD11/BE11-1</f>
        <v>-0.124391538479627</v>
      </c>
      <c r="AF11" s="224">
        <v>4758.64</v>
      </c>
      <c r="AG11" s="36">
        <f t="shared" si="10"/>
        <v>-0.12794950923978</v>
      </c>
      <c r="AH11" s="35">
        <v>4145.68</v>
      </c>
      <c r="AI11" s="36">
        <f t="shared" si="11"/>
        <v>-0.164374532620329</v>
      </c>
      <c r="AJ11" s="35">
        <v>3911.74</v>
      </c>
      <c r="AK11" s="36">
        <f t="shared" si="12"/>
        <v>-0.133445425807409</v>
      </c>
      <c r="AL11" s="35">
        <v>4917.84</v>
      </c>
      <c r="AM11" s="36">
        <f t="shared" si="13"/>
        <v>-0.0873384974556738</v>
      </c>
      <c r="AN11" s="35">
        <v>5076.96</v>
      </c>
      <c r="AO11" s="36">
        <f t="shared" si="14"/>
        <v>-0.107184434604306</v>
      </c>
      <c r="AP11" s="35">
        <v>5556.94</v>
      </c>
      <c r="AQ11" s="36">
        <f t="shared" si="15"/>
        <v>-0.0242508845400832</v>
      </c>
      <c r="AR11" s="35">
        <v>5204.71</v>
      </c>
      <c r="AS11" s="36">
        <f t="shared" si="16"/>
        <v>-0.100091638425894</v>
      </c>
      <c r="AT11" s="35">
        <f t="shared" si="17"/>
        <v>59001.64</v>
      </c>
      <c r="AU11" s="36">
        <f t="shared" si="18"/>
        <v>-0.104175564562474</v>
      </c>
      <c r="AV11" s="47"/>
      <c r="AW11" s="35">
        <v>5868.49</v>
      </c>
      <c r="AX11" s="36"/>
      <c r="AY11" s="35">
        <v>3910.96</v>
      </c>
      <c r="AZ11" s="36"/>
      <c r="BA11" s="35">
        <v>6393.29</v>
      </c>
      <c r="BB11" s="36"/>
      <c r="BC11" s="35">
        <v>6250.96</v>
      </c>
      <c r="BD11" s="36"/>
      <c r="BE11" s="35">
        <v>5953.54</v>
      </c>
      <c r="BF11" s="36"/>
      <c r="BG11" s="35">
        <v>5456.84</v>
      </c>
      <c r="BH11" s="36"/>
      <c r="BI11" s="35">
        <v>4961.17</v>
      </c>
      <c r="BJ11" s="36">
        <f>BI11/CD11-1</f>
        <v>-0.0898605760410933</v>
      </c>
      <c r="BK11" s="35">
        <v>4514.13</v>
      </c>
      <c r="BL11" s="36">
        <f>BK11/CE11-1</f>
        <v>-0.176512116634925</v>
      </c>
      <c r="BM11" s="35">
        <v>5388.46</v>
      </c>
      <c r="BN11" s="36">
        <f>BM11/CF11-1</f>
        <v>0.051741334317061</v>
      </c>
      <c r="BO11" s="35">
        <v>5686.46</v>
      </c>
      <c r="BP11" s="36">
        <f>BO11/CG11-1</f>
        <v>-0.0961678455058412</v>
      </c>
      <c r="BQ11" s="35">
        <v>5695.05</v>
      </c>
      <c r="BR11" s="36">
        <f>BQ11/CH11-1</f>
        <v>-0.115245453147259</v>
      </c>
      <c r="BS11" s="35">
        <v>5783.6</v>
      </c>
      <c r="BT11" s="36">
        <f>BS11/CI11-1</f>
        <v>-0.114583891476974</v>
      </c>
      <c r="BU11" s="35">
        <f t="shared" si="19"/>
        <v>65862.95</v>
      </c>
      <c r="BV11" s="221"/>
      <c r="BW11" s="222"/>
      <c r="BX11" s="223"/>
      <c r="BY11" s="46"/>
      <c r="BZ11" s="46"/>
      <c r="CA11" s="46"/>
      <c r="CB11" s="46"/>
      <c r="CC11" s="46"/>
      <c r="CD11" s="41">
        <v>5451</v>
      </c>
      <c r="CE11" s="41">
        <v>5481.72</v>
      </c>
      <c r="CF11" s="41">
        <v>5123.37</v>
      </c>
      <c r="CG11" s="41">
        <v>6291.5</v>
      </c>
      <c r="CH11" s="41">
        <v>6436.87</v>
      </c>
      <c r="CI11" s="41">
        <v>6532.07</v>
      </c>
      <c r="CJ11" s="35">
        <f>BX11+BY11+BZ11+CA11+CB11+CC11+CD11+CE11+CF11+CG11+CH11+CI11</f>
        <v>35316.53</v>
      </c>
    </row>
    <row r="12" s="206" customFormat="1" ht="27" customHeight="1" spans="1:88">
      <c r="A12" s="29"/>
      <c r="B12" s="34" t="s">
        <v>276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25">
        <v>27097.57</v>
      </c>
      <c r="H12" s="36">
        <f t="shared" si="2"/>
        <v>-0.0692188843914275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-0.0191832872512908</v>
      </c>
      <c r="M12" s="224">
        <v>25809.77</v>
      </c>
      <c r="N12" s="36">
        <f t="shared" si="5"/>
        <v>0.0430322320442078</v>
      </c>
      <c r="O12" s="35">
        <v>21912.54</v>
      </c>
      <c r="P12" s="36">
        <f t="shared" si="6"/>
        <v>-0.000424234462070627</v>
      </c>
      <c r="Q12" s="175"/>
      <c r="R12" s="127"/>
      <c r="S12" s="35">
        <f t="shared" si="7"/>
        <v>171705.17</v>
      </c>
      <c r="T12" s="36">
        <f t="shared" si="8"/>
        <v>-0.138196322803969</v>
      </c>
      <c r="U12" s="38"/>
      <c r="V12" s="35">
        <v>24564.95</v>
      </c>
      <c r="W12" s="36">
        <f t="shared" si="9"/>
        <v>-0.19501804782058</v>
      </c>
      <c r="X12" s="35">
        <v>22628.74</v>
      </c>
      <c r="Y12" s="36">
        <f>X12/AY12-1</f>
        <v>0.112688750891848</v>
      </c>
      <c r="Z12" s="35">
        <v>29112.72</v>
      </c>
      <c r="AA12" s="36">
        <f>Z12/BA12-1</f>
        <v>-0.124300423220264</v>
      </c>
      <c r="AB12" s="35">
        <v>28817.62</v>
      </c>
      <c r="AC12" s="36">
        <f>AB12/BC12-1</f>
        <v>-0.113440121039877</v>
      </c>
      <c r="AD12" s="35">
        <v>27107.45</v>
      </c>
      <c r="AE12" s="36">
        <f>AD12/BE12-1</f>
        <v>-0.124391118404052</v>
      </c>
      <c r="AF12" s="224">
        <v>24744.94</v>
      </c>
      <c r="AG12" s="36">
        <f t="shared" si="10"/>
        <v>-0.127949147805665</v>
      </c>
      <c r="AH12" s="35">
        <v>21921.84</v>
      </c>
      <c r="AI12" s="36">
        <f t="shared" si="11"/>
        <v>-0.150253042086853</v>
      </c>
      <c r="AJ12" s="35">
        <v>20341.05</v>
      </c>
      <c r="AK12" s="36">
        <f t="shared" si="12"/>
        <v>-0.133445119106804</v>
      </c>
      <c r="AL12" s="35">
        <v>25572.77</v>
      </c>
      <c r="AM12" s="36">
        <f t="shared" si="13"/>
        <v>-0.0873383609344615</v>
      </c>
      <c r="AN12" s="35">
        <v>26400.2</v>
      </c>
      <c r="AO12" s="36">
        <f t="shared" si="14"/>
        <v>-0.107184103668668</v>
      </c>
      <c r="AP12" s="35">
        <v>28896.08</v>
      </c>
      <c r="AQ12" s="36">
        <f t="shared" si="15"/>
        <v>-0.0242511546802113</v>
      </c>
      <c r="AR12" s="35">
        <v>27064.5</v>
      </c>
      <c r="AS12" s="36">
        <f t="shared" si="16"/>
        <v>-0.100091372421755</v>
      </c>
      <c r="AT12" s="35">
        <f t="shared" si="17"/>
        <v>307172.86</v>
      </c>
      <c r="AU12" s="36">
        <f t="shared" si="18"/>
        <v>-0.103111703613194</v>
      </c>
      <c r="AV12" s="47"/>
      <c r="AW12" s="35">
        <v>30516.15</v>
      </c>
      <c r="AX12" s="36"/>
      <c r="AY12" s="35">
        <v>20336.99</v>
      </c>
      <c r="AZ12" s="36"/>
      <c r="BA12" s="35">
        <v>33245.1</v>
      </c>
      <c r="BB12" s="36"/>
      <c r="BC12" s="35">
        <v>32504.99</v>
      </c>
      <c r="BD12" s="36"/>
      <c r="BE12" s="35">
        <v>30958.4</v>
      </c>
      <c r="BF12" s="36"/>
      <c r="BG12" s="35">
        <v>28375.57</v>
      </c>
      <c r="BH12" s="36"/>
      <c r="BI12" s="35">
        <v>25798.08</v>
      </c>
      <c r="BJ12" s="36"/>
      <c r="BK12" s="35">
        <v>23473.47</v>
      </c>
      <c r="BL12" s="36"/>
      <c r="BM12" s="35">
        <v>28019.99</v>
      </c>
      <c r="BN12" s="36"/>
      <c r="BO12" s="35">
        <v>29569.59</v>
      </c>
      <c r="BP12" s="37"/>
      <c r="BQ12" s="35">
        <v>29614.26</v>
      </c>
      <c r="BR12" s="36"/>
      <c r="BS12" s="35">
        <v>30074.72</v>
      </c>
      <c r="BT12" s="36"/>
      <c r="BU12" s="35">
        <f t="shared" si="19"/>
        <v>342487.31</v>
      </c>
      <c r="BV12" s="221"/>
      <c r="BW12" s="222"/>
      <c r="BX12" s="223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7"/>
    </row>
    <row r="13" s="205" customFormat="1" ht="27" customHeight="1" spans="1:88">
      <c r="A13" s="48" t="s">
        <v>94</v>
      </c>
      <c r="B13" s="34" t="s">
        <v>273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224">
        <v>1010.85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175"/>
      <c r="R13" s="127"/>
      <c r="S13" s="103">
        <f t="shared" si="7"/>
        <v>7109.42</v>
      </c>
      <c r="T13" s="104">
        <f t="shared" si="8"/>
        <v>-0.177711028014467</v>
      </c>
      <c r="U13" s="38"/>
      <c r="V13" s="35">
        <v>1107.48</v>
      </c>
      <c r="W13" s="36">
        <f t="shared" si="9"/>
        <v>-0.120118855617438</v>
      </c>
      <c r="X13" s="35">
        <v>1102.8</v>
      </c>
      <c r="Y13" s="36">
        <f>X13/AY13-1</f>
        <v>0.137728257505416</v>
      </c>
      <c r="Z13" s="35">
        <v>1109.87</v>
      </c>
      <c r="AA13" s="36">
        <f>Z13/BA13-1</f>
        <v>-0.0785943181629503</v>
      </c>
      <c r="AB13" s="35">
        <v>1183.93</v>
      </c>
      <c r="AC13" s="36">
        <f>AB13/BC13-1</f>
        <v>-0.0505621581741487</v>
      </c>
      <c r="AD13" s="35">
        <v>1178.84</v>
      </c>
      <c r="AE13" s="36">
        <f>AD13/BE13-1</f>
        <v>-0.0402748491830238</v>
      </c>
      <c r="AF13" s="224">
        <v>1050.46</v>
      </c>
      <c r="AG13" s="36">
        <f t="shared" si="10"/>
        <v>-0.090809949973169</v>
      </c>
      <c r="AH13" s="35">
        <v>965.98</v>
      </c>
      <c r="AI13" s="36">
        <f t="shared" si="11"/>
        <v>-0.137941189594396</v>
      </c>
      <c r="AJ13" s="35">
        <v>946.53</v>
      </c>
      <c r="AK13" s="36">
        <f t="shared" si="12"/>
        <v>-0.124774612333213</v>
      </c>
      <c r="AL13" s="35">
        <v>1006.91</v>
      </c>
      <c r="AM13" s="36">
        <f t="shared" si="13"/>
        <v>-0.090588054659911</v>
      </c>
      <c r="AN13" s="35">
        <v>1069.55</v>
      </c>
      <c r="AO13" s="36">
        <f t="shared" si="14"/>
        <v>-0.0766288817328694</v>
      </c>
      <c r="AP13" s="35">
        <v>1057.59</v>
      </c>
      <c r="AQ13" s="36">
        <f t="shared" si="15"/>
        <v>-0.100091897687242</v>
      </c>
      <c r="AR13" s="35">
        <v>1085.74</v>
      </c>
      <c r="AS13" s="36">
        <f t="shared" si="16"/>
        <v>-0.0604534440983038</v>
      </c>
      <c r="AT13" s="35">
        <f t="shared" si="17"/>
        <v>12865.68</v>
      </c>
      <c r="AU13" s="36">
        <f t="shared" si="18"/>
        <v>-0.071843388252676</v>
      </c>
      <c r="AV13" s="44"/>
      <c r="AW13" s="38">
        <v>1258.67</v>
      </c>
      <c r="AX13" s="37">
        <f>AW13/BX13-1</f>
        <v>0.170159161057603</v>
      </c>
      <c r="AY13" s="38">
        <v>969.3</v>
      </c>
      <c r="AZ13" s="37">
        <f>AY13/BY13-1</f>
        <v>-0.157731009193445</v>
      </c>
      <c r="BA13" s="38">
        <v>1204.54</v>
      </c>
      <c r="BB13" s="37">
        <f>BA13/BZ13-1</f>
        <v>-0.00752263794936026</v>
      </c>
      <c r="BC13" s="38">
        <v>1246.98</v>
      </c>
      <c r="BD13" s="37">
        <f>BC13/CA13-1</f>
        <v>-0.0231257344300823</v>
      </c>
      <c r="BE13" s="38">
        <v>1228.31</v>
      </c>
      <c r="BF13" s="37">
        <f>BE13/CB13-1</f>
        <v>0.0220500744710062</v>
      </c>
      <c r="BG13" s="38">
        <v>1155.38</v>
      </c>
      <c r="BH13" s="37">
        <f>BG13/CC13-1</f>
        <v>-0.00655202063628535</v>
      </c>
      <c r="BI13" s="38">
        <v>1120.55</v>
      </c>
      <c r="BJ13" s="37">
        <f>BI13/CD13-1</f>
        <v>-0.00203058343649531</v>
      </c>
      <c r="BK13" s="38">
        <v>1081.47</v>
      </c>
      <c r="BL13" s="37">
        <f>BK13/CE13-1</f>
        <v>-0.0265446100669691</v>
      </c>
      <c r="BM13" s="38">
        <v>1107.21</v>
      </c>
      <c r="BN13" s="37">
        <f>BM13/CF13-1</f>
        <v>-0.116796822028828</v>
      </c>
      <c r="BO13" s="38">
        <v>1158.31</v>
      </c>
      <c r="BP13" s="37">
        <f>BO13/CG13-1</f>
        <v>-0.0580931083553569</v>
      </c>
      <c r="BQ13" s="38">
        <v>1175.22</v>
      </c>
      <c r="BR13" s="37">
        <f>BQ13/CH13-1</f>
        <v>-0.0498435567197845</v>
      </c>
      <c r="BS13" s="38">
        <v>1155.6</v>
      </c>
      <c r="BT13" s="37">
        <f>BS13/CI13-1</f>
        <v>-0.0269450993600538</v>
      </c>
      <c r="BU13" s="38">
        <f t="shared" si="19"/>
        <v>13861.54</v>
      </c>
      <c r="BV13" s="219">
        <f>BU13/CJ13-1</f>
        <v>-0.0254192481515959</v>
      </c>
      <c r="BW13" s="204"/>
      <c r="BX13" s="220">
        <v>1075.64</v>
      </c>
      <c r="BY13" s="195">
        <v>1150.82</v>
      </c>
      <c r="BZ13" s="195">
        <v>1213.67</v>
      </c>
      <c r="CA13" s="195">
        <v>1276.5</v>
      </c>
      <c r="CB13" s="195">
        <v>1201.81</v>
      </c>
      <c r="CC13" s="195">
        <v>1163</v>
      </c>
      <c r="CD13" s="195">
        <v>1122.83</v>
      </c>
      <c r="CE13" s="195">
        <v>1110.96</v>
      </c>
      <c r="CF13" s="195">
        <v>1253.63</v>
      </c>
      <c r="CG13" s="195">
        <v>1229.75</v>
      </c>
      <c r="CH13" s="195">
        <v>1236.87</v>
      </c>
      <c r="CI13" s="195">
        <v>1187.6</v>
      </c>
      <c r="CJ13" s="38">
        <f>BX13+BY13+BZ13+CA13+CB13+CC13+CD13+CE13+CF13+CG13+CH13+CI13</f>
        <v>14223.08</v>
      </c>
    </row>
    <row r="14" s="206" customFormat="1" ht="27" customHeight="1" spans="1:88">
      <c r="A14" s="45"/>
      <c r="B14" s="34" t="s">
        <v>274</v>
      </c>
      <c r="C14" s="35">
        <v>8176.61</v>
      </c>
      <c r="D14" s="36">
        <f t="shared" si="0"/>
        <v>-0.0399614416411489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-0.093080025238152</v>
      </c>
      <c r="M14" s="224">
        <v>7802.04</v>
      </c>
      <c r="N14" s="36">
        <f t="shared" si="5"/>
        <v>-0.0354991840973149</v>
      </c>
      <c r="O14" s="35">
        <v>7279.12</v>
      </c>
      <c r="P14" s="36">
        <f t="shared" si="6"/>
        <v>-0.0233380651705475</v>
      </c>
      <c r="Q14" s="175"/>
      <c r="R14" s="127"/>
      <c r="S14" s="35">
        <f t="shared" si="7"/>
        <v>54901.64</v>
      </c>
      <c r="T14" s="36">
        <f t="shared" si="8"/>
        <v>-0.175908672394005</v>
      </c>
      <c r="U14" s="38"/>
      <c r="V14" s="35">
        <v>8516.96</v>
      </c>
      <c r="W14" s="36">
        <f t="shared" si="9"/>
        <v>-0.120776387929691</v>
      </c>
      <c r="X14" s="35">
        <v>8517.44</v>
      </c>
      <c r="Y14" s="36">
        <f>X14/AW14-1</f>
        <v>-0.120726836524753</v>
      </c>
      <c r="Z14" s="35">
        <v>8527.82</v>
      </c>
      <c r="AA14" s="36">
        <f>Z14/AY14-1</f>
        <v>0.144280623034232</v>
      </c>
      <c r="AB14" s="35">
        <v>9143.4</v>
      </c>
      <c r="AC14" s="36">
        <f>AB14/BA14-1</f>
        <v>-0.0112335735481137</v>
      </c>
      <c r="AD14" s="35">
        <v>9065.64</v>
      </c>
      <c r="AE14" s="36">
        <f>AD14/BC14-1</f>
        <v>-0.0549980455007427</v>
      </c>
      <c r="AF14" s="224">
        <v>8089.2</v>
      </c>
      <c r="AG14" s="36">
        <f t="shared" si="10"/>
        <v>-0.090532962165128</v>
      </c>
      <c r="AH14" s="35">
        <v>7453.06</v>
      </c>
      <c r="AI14" s="36">
        <f t="shared" si="11"/>
        <v>-0.137361340024815</v>
      </c>
      <c r="AJ14" s="35">
        <v>7307.3</v>
      </c>
      <c r="AK14" s="36">
        <f t="shared" si="12"/>
        <v>-0.123568526043591</v>
      </c>
      <c r="AL14" s="35">
        <v>7771.35</v>
      </c>
      <c r="AM14" s="36">
        <f t="shared" si="13"/>
        <v>-0.0875055773430712</v>
      </c>
      <c r="AN14" s="35">
        <v>8258.64</v>
      </c>
      <c r="AO14" s="36">
        <f t="shared" si="14"/>
        <v>-0.0724974927477801</v>
      </c>
      <c r="AP14" s="35">
        <v>8160.01</v>
      </c>
      <c r="AQ14" s="36">
        <f t="shared" si="15"/>
        <v>-0.0981381438467896</v>
      </c>
      <c r="AR14" s="35">
        <v>8368.28</v>
      </c>
      <c r="AS14" s="36">
        <f t="shared" si="16"/>
        <v>-0.0584150216485287</v>
      </c>
      <c r="AT14" s="35">
        <f t="shared" si="17"/>
        <v>99179.1</v>
      </c>
      <c r="AU14" s="36">
        <f t="shared" si="18"/>
        <v>-0.0701697279092055</v>
      </c>
      <c r="AV14" s="47"/>
      <c r="AW14" s="35">
        <v>9686.91</v>
      </c>
      <c r="AX14" s="36"/>
      <c r="AY14" s="35">
        <v>7452.56</v>
      </c>
      <c r="AZ14" s="36"/>
      <c r="BA14" s="35">
        <v>9247.28</v>
      </c>
      <c r="BB14" s="36"/>
      <c r="BC14" s="35">
        <v>9593.25</v>
      </c>
      <c r="BD14" s="36"/>
      <c r="BE14" s="35">
        <v>9455.65</v>
      </c>
      <c r="BF14" s="36"/>
      <c r="BG14" s="35">
        <v>8894.44</v>
      </c>
      <c r="BH14" s="36"/>
      <c r="BI14" s="35">
        <v>8639.84</v>
      </c>
      <c r="BJ14" s="36"/>
      <c r="BK14" s="35">
        <v>8337.56</v>
      </c>
      <c r="BL14" s="36"/>
      <c r="BM14" s="35">
        <v>8516.6</v>
      </c>
      <c r="BN14" s="36"/>
      <c r="BO14" s="35">
        <v>8904.17</v>
      </c>
      <c r="BP14" s="37"/>
      <c r="BQ14" s="35">
        <v>9047.96</v>
      </c>
      <c r="BR14" s="36"/>
      <c r="BS14" s="35">
        <v>8887.44</v>
      </c>
      <c r="BT14" s="36"/>
      <c r="BU14" s="35">
        <f t="shared" si="19"/>
        <v>106663.66</v>
      </c>
      <c r="BV14" s="221"/>
      <c r="BW14" s="222"/>
      <c r="BX14" s="223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206" customFormat="1" ht="27" customHeight="1" spans="1:88">
      <c r="A15" s="45"/>
      <c r="B15" s="34" t="s">
        <v>275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-0.030871617461667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224">
        <v>874.95</v>
      </c>
      <c r="N15" s="36">
        <f t="shared" si="5"/>
        <v>-0.0583430195014851</v>
      </c>
      <c r="O15" s="35">
        <v>806.39</v>
      </c>
      <c r="P15" s="36">
        <f t="shared" si="6"/>
        <v>-0.0670885490177932</v>
      </c>
      <c r="Q15" s="175"/>
      <c r="R15" s="127"/>
      <c r="S15" s="35">
        <f t="shared" si="7"/>
        <v>6267.84</v>
      </c>
      <c r="T15" s="36">
        <f t="shared" si="8"/>
        <v>-0.205072043770348</v>
      </c>
      <c r="U15" s="38"/>
      <c r="V15" s="35">
        <v>1023.98</v>
      </c>
      <c r="W15" s="36">
        <f t="shared" si="9"/>
        <v>-0.15231338526619</v>
      </c>
      <c r="X15" s="35">
        <v>1018.4</v>
      </c>
      <c r="Y15" s="36">
        <f>X15/AY15-1</f>
        <v>0.152036199095023</v>
      </c>
      <c r="Z15" s="35">
        <v>1023.27</v>
      </c>
      <c r="AA15" s="36">
        <f>Z15/BA15-1</f>
        <v>-0.0789234438993655</v>
      </c>
      <c r="AB15" s="35">
        <v>1089.63</v>
      </c>
      <c r="AC15" s="36">
        <f>AB15/BC15-1</f>
        <v>-0.050960684237114</v>
      </c>
      <c r="AD15" s="35">
        <v>1091.84</v>
      </c>
      <c r="AE15" s="36">
        <f>AD15/BE15-1</f>
        <v>-0.030569934385183</v>
      </c>
      <c r="AF15" s="224">
        <v>929.16</v>
      </c>
      <c r="AG15" s="36">
        <f t="shared" si="10"/>
        <v>-0.122689075630252</v>
      </c>
      <c r="AH15" s="35">
        <v>864.38</v>
      </c>
      <c r="AI15" s="36">
        <f t="shared" si="11"/>
        <v>-0.157729598051157</v>
      </c>
      <c r="AJ15" s="35">
        <v>844.13</v>
      </c>
      <c r="AK15" s="36">
        <f t="shared" si="12"/>
        <v>-0.152199021764239</v>
      </c>
      <c r="AL15" s="35">
        <v>914.31</v>
      </c>
      <c r="AM15" s="36">
        <f t="shared" si="13"/>
        <v>-0.104855053308662</v>
      </c>
      <c r="AN15" s="35">
        <v>960.05</v>
      </c>
      <c r="AO15" s="36">
        <f t="shared" si="14"/>
        <v>-0.0974513730246026</v>
      </c>
      <c r="AP15" s="35">
        <v>956.49</v>
      </c>
      <c r="AQ15" s="36">
        <f t="shared" si="15"/>
        <v>-0.118458645923577</v>
      </c>
      <c r="AR15" s="35">
        <v>971.54</v>
      </c>
      <c r="AS15" s="36">
        <f t="shared" si="16"/>
        <v>-0.0916791323859386</v>
      </c>
      <c r="AT15" s="35">
        <f t="shared" si="17"/>
        <v>11687.18</v>
      </c>
      <c r="AU15" s="36">
        <f t="shared" si="18"/>
        <v>-0.0868027963547687</v>
      </c>
      <c r="AV15" s="47"/>
      <c r="AW15" s="35">
        <v>1207.97</v>
      </c>
      <c r="AX15" s="36"/>
      <c r="AY15" s="35">
        <v>884</v>
      </c>
      <c r="AZ15" s="36"/>
      <c r="BA15" s="35">
        <v>1110.95</v>
      </c>
      <c r="BB15" s="36"/>
      <c r="BC15" s="35">
        <v>1148.14</v>
      </c>
      <c r="BD15" s="36"/>
      <c r="BE15" s="35">
        <v>1126.27</v>
      </c>
      <c r="BF15" s="36"/>
      <c r="BG15" s="35">
        <v>1059.1</v>
      </c>
      <c r="BH15" s="36"/>
      <c r="BI15" s="35">
        <v>1026.25</v>
      </c>
      <c r="BJ15" s="36">
        <f>BI15/CD15-1</f>
        <v>-0.0413626895089348</v>
      </c>
      <c r="BK15" s="35">
        <v>995.67</v>
      </c>
      <c r="BL15" s="36">
        <f>BK15/CE15-1</f>
        <v>-0.0701277597220666</v>
      </c>
      <c r="BM15" s="35">
        <v>1021.41</v>
      </c>
      <c r="BN15" s="36">
        <f>BM15/CF15-1</f>
        <v>-0.154202860147562</v>
      </c>
      <c r="BO15" s="35">
        <v>1063.71</v>
      </c>
      <c r="BP15" s="36">
        <f>BO15/CG15-1</f>
        <v>-0.10292220113852</v>
      </c>
      <c r="BQ15" s="35">
        <v>1085.02</v>
      </c>
      <c r="BR15" s="36">
        <f>BQ15/CH15-1</f>
        <v>-0.0833424856590098</v>
      </c>
      <c r="BS15" s="35">
        <v>1069.6</v>
      </c>
      <c r="BT15" s="36">
        <f>BS15/CI15-1</f>
        <v>-0.0561992076167619</v>
      </c>
      <c r="BU15" s="35">
        <f t="shared" si="19"/>
        <v>12798.09</v>
      </c>
      <c r="BV15" s="221"/>
      <c r="BW15" s="222"/>
      <c r="BX15" s="223"/>
      <c r="BY15" s="46"/>
      <c r="BZ15" s="46"/>
      <c r="CA15" s="46"/>
      <c r="CB15" s="46"/>
      <c r="CC15" s="46"/>
      <c r="CD15" s="41">
        <v>1070.53</v>
      </c>
      <c r="CE15" s="41">
        <v>1070.76</v>
      </c>
      <c r="CF15" s="41">
        <v>1207.63</v>
      </c>
      <c r="CG15" s="41">
        <v>1185.75</v>
      </c>
      <c r="CH15" s="41">
        <v>1183.67</v>
      </c>
      <c r="CI15" s="41">
        <v>1133.29</v>
      </c>
      <c r="CJ15" s="35">
        <f>BX15+BY15+BZ15+CA15+CB15+CC15+CD15+CE15+CF15+CG15+CH15+CI15</f>
        <v>6851.63</v>
      </c>
    </row>
    <row r="16" s="206" customFormat="1" ht="27" customHeight="1" spans="1:88">
      <c r="A16" s="29"/>
      <c r="B16" s="34" t="s">
        <v>276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25">
        <v>5513.96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224">
        <v>4892.91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175"/>
      <c r="R16" s="127"/>
      <c r="S16" s="35">
        <f t="shared" si="7"/>
        <v>34939.03</v>
      </c>
      <c r="T16" s="36">
        <f t="shared" si="8"/>
        <v>-0.0598588403706855</v>
      </c>
      <c r="U16" s="38"/>
      <c r="V16" s="35">
        <v>4827.2</v>
      </c>
      <c r="W16" s="36">
        <f t="shared" si="9"/>
        <v>-0.167474380245108</v>
      </c>
      <c r="X16" s="35">
        <v>4807.32</v>
      </c>
      <c r="Y16" s="36">
        <f>X16/AY16-1</f>
        <v>0.132946832579186</v>
      </c>
      <c r="Z16" s="35">
        <v>4820.2</v>
      </c>
      <c r="AA16" s="36">
        <f>Z16/BA16-1</f>
        <v>-0.0960814318076122</v>
      </c>
      <c r="AB16" s="35">
        <v>5126.43</v>
      </c>
      <c r="AC16" s="36">
        <f>AB16/BC16-1</f>
        <v>-0.0697940690283374</v>
      </c>
      <c r="AD16" s="35">
        <v>5134.63</v>
      </c>
      <c r="AE16" s="36">
        <f>AD16/BE16-1</f>
        <v>-0.0502154973085959</v>
      </c>
      <c r="AF16" s="224">
        <v>4383.17</v>
      </c>
      <c r="AG16" s="36">
        <f t="shared" si="10"/>
        <v>-0.137795848676549</v>
      </c>
      <c r="AH16" s="35">
        <v>4079.73</v>
      </c>
      <c r="AI16" s="36">
        <f t="shared" si="11"/>
        <v>-0.17179658952497</v>
      </c>
      <c r="AJ16" s="35">
        <v>3984.92</v>
      </c>
      <c r="AK16" s="36">
        <f t="shared" si="12"/>
        <v>-0.166198668401957</v>
      </c>
      <c r="AL16" s="35">
        <v>4314.59</v>
      </c>
      <c r="AM16" s="36">
        <f t="shared" si="13"/>
        <v>-0.119968915531424</v>
      </c>
      <c r="AN16" s="35">
        <v>5333.19</v>
      </c>
      <c r="AO16" s="36">
        <f t="shared" si="14"/>
        <v>0.044533580372164</v>
      </c>
      <c r="AP16" s="35">
        <v>5315.51</v>
      </c>
      <c r="AQ16" s="36">
        <f t="shared" si="15"/>
        <v>0.0206236439392484</v>
      </c>
      <c r="AR16" s="35">
        <v>5419.24</v>
      </c>
      <c r="AS16" s="36">
        <f t="shared" si="16"/>
        <v>0.0555425704313139</v>
      </c>
      <c r="AT16" s="35">
        <f t="shared" si="17"/>
        <v>57546.13</v>
      </c>
      <c r="AU16" s="36">
        <f t="shared" si="18"/>
        <v>-0.0632372822449957</v>
      </c>
      <c r="AV16" s="47"/>
      <c r="AW16" s="35">
        <v>5798.26</v>
      </c>
      <c r="AX16" s="36"/>
      <c r="AY16" s="35">
        <v>4243.2</v>
      </c>
      <c r="AZ16" s="36"/>
      <c r="BA16" s="35">
        <v>5332.56</v>
      </c>
      <c r="BB16" s="36"/>
      <c r="BC16" s="35">
        <v>5511.07</v>
      </c>
      <c r="BD16" s="36"/>
      <c r="BE16" s="35">
        <v>5406.1</v>
      </c>
      <c r="BF16" s="36"/>
      <c r="BG16" s="35">
        <v>5083.68</v>
      </c>
      <c r="BH16" s="36"/>
      <c r="BI16" s="35">
        <v>4926</v>
      </c>
      <c r="BJ16" s="36"/>
      <c r="BK16" s="35">
        <v>4779.22</v>
      </c>
      <c r="BL16" s="36"/>
      <c r="BM16" s="35">
        <v>4902.77</v>
      </c>
      <c r="BN16" s="36"/>
      <c r="BO16" s="35">
        <v>5105.81</v>
      </c>
      <c r="BP16" s="37"/>
      <c r="BQ16" s="35">
        <v>5208.1</v>
      </c>
      <c r="BR16" s="36"/>
      <c r="BS16" s="35">
        <v>5134.08</v>
      </c>
      <c r="BT16" s="36"/>
      <c r="BU16" s="35">
        <f t="shared" si="19"/>
        <v>61430.85</v>
      </c>
      <c r="BV16" s="221"/>
      <c r="BW16" s="222"/>
      <c r="BX16" s="223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205" customFormat="1" ht="27" customHeight="1" spans="1:88">
      <c r="A17" s="48" t="s">
        <v>95</v>
      </c>
      <c r="B17" s="34" t="s">
        <v>273</v>
      </c>
      <c r="C17" s="35">
        <v>1424.48</v>
      </c>
      <c r="D17" s="36">
        <f t="shared" si="0"/>
        <v>-0.0265157727844295</v>
      </c>
      <c r="E17" s="35">
        <v>1247.07</v>
      </c>
      <c r="F17" s="36">
        <f t="shared" si="1"/>
        <v>0.0111241739976486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0.0157260359008846</v>
      </c>
      <c r="M17" s="224">
        <v>1404.69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175"/>
      <c r="R17" s="127"/>
      <c r="S17" s="103">
        <f t="shared" si="7"/>
        <v>9444.9</v>
      </c>
      <c r="T17" s="104">
        <f t="shared" si="8"/>
        <v>-0.110646367782929</v>
      </c>
      <c r="U17" s="38"/>
      <c r="V17" s="35">
        <v>1463.28</v>
      </c>
      <c r="W17" s="36">
        <f t="shared" si="9"/>
        <v>-0.058917351066635</v>
      </c>
      <c r="X17" s="35">
        <v>1233.35</v>
      </c>
      <c r="Y17" s="36">
        <f>X17/AY17-1</f>
        <v>-0.0222837030107971</v>
      </c>
      <c r="Z17" s="35">
        <v>1338.87</v>
      </c>
      <c r="AA17" s="36">
        <f>Z17/BA17-1</f>
        <v>-0.10512913057427</v>
      </c>
      <c r="AB17" s="35">
        <v>1442.6</v>
      </c>
      <c r="AC17" s="36">
        <f>AB17/BC17-1</f>
        <v>-0.080449512687961</v>
      </c>
      <c r="AD17" s="35">
        <v>1353.17</v>
      </c>
      <c r="AE17" s="36">
        <f>AD17/BE17-1</f>
        <v>-0.0829074889867841</v>
      </c>
      <c r="AF17" s="224">
        <v>1377.98</v>
      </c>
      <c r="AG17" s="36">
        <f t="shared" si="10"/>
        <v>-0.0744109191541954</v>
      </c>
      <c r="AH17" s="35">
        <v>1236.9</v>
      </c>
      <c r="AI17" s="36">
        <f t="shared" si="11"/>
        <v>-0.121295217527209</v>
      </c>
      <c r="AJ17" s="35">
        <v>1173.81</v>
      </c>
      <c r="AK17" s="36">
        <f t="shared" si="12"/>
        <v>-0.0939328444615979</v>
      </c>
      <c r="AL17" s="35">
        <v>1384.72</v>
      </c>
      <c r="AM17" s="36">
        <f t="shared" si="13"/>
        <v>-0.051022156431396</v>
      </c>
      <c r="AN17" s="35">
        <v>1325.96</v>
      </c>
      <c r="AO17" s="36">
        <f t="shared" si="14"/>
        <v>-0.073545646371627</v>
      </c>
      <c r="AP17" s="35">
        <v>1416.61</v>
      </c>
      <c r="AQ17" s="36">
        <f t="shared" si="15"/>
        <v>-0.0431478767164926</v>
      </c>
      <c r="AR17" s="35">
        <v>1378.21</v>
      </c>
      <c r="AS17" s="36">
        <f t="shared" si="16"/>
        <v>-0.0538755672105939</v>
      </c>
      <c r="AT17" s="35">
        <f t="shared" si="17"/>
        <v>16125.46</v>
      </c>
      <c r="AU17" s="36">
        <f t="shared" si="18"/>
        <v>-0.0719848713390487</v>
      </c>
      <c r="AV17" s="44"/>
      <c r="AW17" s="38">
        <v>1554.89</v>
      </c>
      <c r="AX17" s="37">
        <f>AW17/BX17-1</f>
        <v>0.588129551513171</v>
      </c>
      <c r="AY17" s="38">
        <v>1261.46</v>
      </c>
      <c r="AZ17" s="37">
        <f>AY17/BY17-1</f>
        <v>-0.0817798676672902</v>
      </c>
      <c r="BA17" s="38">
        <v>1496.16</v>
      </c>
      <c r="BB17" s="37">
        <f>BA17/BZ17-1</f>
        <v>0.142429541168116</v>
      </c>
      <c r="BC17" s="38">
        <v>1568.81</v>
      </c>
      <c r="BD17" s="37">
        <f>BC17/CA17-1</f>
        <v>0.0583477251875439</v>
      </c>
      <c r="BE17" s="38">
        <v>1475.5</v>
      </c>
      <c r="BF17" s="37">
        <f>BE17/CB17-1</f>
        <v>0.0420933681757185</v>
      </c>
      <c r="BG17" s="38">
        <v>1488.76</v>
      </c>
      <c r="BH17" s="37">
        <f>BG17/CC17-1</f>
        <v>0.0313543470730862</v>
      </c>
      <c r="BI17" s="38">
        <v>1407.64</v>
      </c>
      <c r="BJ17" s="37">
        <f>BI17/CD17-1</f>
        <v>0.0194306240539974</v>
      </c>
      <c r="BK17" s="38">
        <v>1295.5</v>
      </c>
      <c r="BL17" s="37">
        <f>BK17/CE17-1</f>
        <v>-0.0196523568450286</v>
      </c>
      <c r="BM17" s="38">
        <v>1459.17</v>
      </c>
      <c r="BN17" s="37">
        <f>BM17/CF17-1</f>
        <v>0.00516646345243754</v>
      </c>
      <c r="BO17" s="38">
        <v>1431.22</v>
      </c>
      <c r="BP17" s="37">
        <f>BO17/CG17-1</f>
        <v>-0.00926207946836488</v>
      </c>
      <c r="BQ17" s="38">
        <v>1480.49</v>
      </c>
      <c r="BR17" s="37">
        <f>BQ17/CH17-1</f>
        <v>-0.0429619574000453</v>
      </c>
      <c r="BS17" s="38">
        <v>1456.69</v>
      </c>
      <c r="BT17" s="37">
        <f>BS17/CI17-1</f>
        <v>-0.00894655200566041</v>
      </c>
      <c r="BU17" s="38">
        <f t="shared" si="19"/>
        <v>17376.29</v>
      </c>
      <c r="BV17" s="219">
        <f>BU17/CJ17-1</f>
        <v>0.0455318639411246</v>
      </c>
      <c r="BW17" s="204"/>
      <c r="BX17" s="220">
        <v>979.07</v>
      </c>
      <c r="BY17" s="195">
        <v>1373.81</v>
      </c>
      <c r="BZ17" s="195">
        <v>1309.63</v>
      </c>
      <c r="CA17" s="195">
        <v>1482.32</v>
      </c>
      <c r="CB17" s="195">
        <v>1415.9</v>
      </c>
      <c r="CC17" s="195">
        <v>1443.5</v>
      </c>
      <c r="CD17" s="195">
        <v>1380.81</v>
      </c>
      <c r="CE17" s="195">
        <v>1321.47</v>
      </c>
      <c r="CF17" s="195">
        <v>1451.67</v>
      </c>
      <c r="CG17" s="195">
        <v>1444.6</v>
      </c>
      <c r="CH17" s="195">
        <v>1546.95</v>
      </c>
      <c r="CI17" s="195">
        <v>1469.84</v>
      </c>
      <c r="CJ17" s="38">
        <f>BX17+BY17+BZ17+CA17+CB17+CC17+CD17+CE17+CF17+CG17+CH17+CI17</f>
        <v>16619.57</v>
      </c>
    </row>
    <row r="18" s="206" customFormat="1" ht="27" customHeight="1" spans="1:88">
      <c r="A18" s="45"/>
      <c r="B18" s="34" t="s">
        <v>274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-0.0973839113589997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224">
        <v>8271.86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175"/>
      <c r="R18" s="127"/>
      <c r="S18" s="35">
        <f t="shared" si="7"/>
        <v>56868.61</v>
      </c>
      <c r="T18" s="36">
        <f t="shared" si="8"/>
        <v>-0.140534701136194</v>
      </c>
      <c r="U18" s="38"/>
      <c r="V18" s="35">
        <v>9015.78</v>
      </c>
      <c r="W18" s="36">
        <f t="shared" si="9"/>
        <v>-0.127191513337374</v>
      </c>
      <c r="X18" s="35">
        <v>8033.5</v>
      </c>
      <c r="Y18" s="36">
        <f>X18/AW18-1</f>
        <v>-0.222285040495197</v>
      </c>
      <c r="Z18" s="35">
        <v>8548.64</v>
      </c>
      <c r="AA18" s="36">
        <f>Z18/AY18-1</f>
        <v>0.0119895446624743</v>
      </c>
      <c r="AB18" s="35">
        <v>8796.61</v>
      </c>
      <c r="AC18" s="36">
        <f>AB18/BA18-1</f>
        <v>-0.116105143638026</v>
      </c>
      <c r="AD18" s="35">
        <v>8232.19</v>
      </c>
      <c r="AE18" s="36">
        <f>AD18/BC18-1</f>
        <v>-0.212703000209444</v>
      </c>
      <c r="AF18" s="224">
        <v>8297.71</v>
      </c>
      <c r="AG18" s="36">
        <f t="shared" si="10"/>
        <v>-0.159275196535663</v>
      </c>
      <c r="AH18" s="35">
        <v>7915.23</v>
      </c>
      <c r="AI18" s="36">
        <f t="shared" si="11"/>
        <v>-0.154249146794147</v>
      </c>
      <c r="AJ18" s="35">
        <v>7327.77</v>
      </c>
      <c r="AK18" s="36">
        <f t="shared" si="12"/>
        <v>-0.137548196656482</v>
      </c>
      <c r="AL18" s="35">
        <v>8102.23</v>
      </c>
      <c r="AM18" s="36">
        <f t="shared" si="13"/>
        <v>-0.230732786449432</v>
      </c>
      <c r="AN18" s="35">
        <v>7961.47</v>
      </c>
      <c r="AO18" s="36">
        <f t="shared" si="14"/>
        <v>-0.127409729338719</v>
      </c>
      <c r="AP18" s="35">
        <v>8332.17</v>
      </c>
      <c r="AQ18" s="36">
        <f t="shared" si="15"/>
        <v>-0.0857342560659944</v>
      </c>
      <c r="AR18" s="35">
        <v>8009.56</v>
      </c>
      <c r="AS18" s="36">
        <f t="shared" si="16"/>
        <v>-0.113818115836199</v>
      </c>
      <c r="AT18" s="35">
        <f t="shared" si="17"/>
        <v>98572.86</v>
      </c>
      <c r="AU18" s="36">
        <f t="shared" si="18"/>
        <v>-0.13955975927576</v>
      </c>
      <c r="AV18" s="47"/>
      <c r="AW18" s="35">
        <v>10329.62</v>
      </c>
      <c r="AX18" s="36"/>
      <c r="AY18" s="35">
        <v>8447.36</v>
      </c>
      <c r="AZ18" s="36"/>
      <c r="BA18" s="35">
        <v>9952.1</v>
      </c>
      <c r="BB18" s="36"/>
      <c r="BC18" s="35">
        <v>10456.27</v>
      </c>
      <c r="BD18" s="36"/>
      <c r="BE18" s="35">
        <v>9842.5</v>
      </c>
      <c r="BF18" s="36"/>
      <c r="BG18" s="35">
        <v>9869.71</v>
      </c>
      <c r="BH18" s="36"/>
      <c r="BI18" s="35">
        <v>9358.82</v>
      </c>
      <c r="BJ18" s="36"/>
      <c r="BK18" s="35">
        <v>8496.44</v>
      </c>
      <c r="BL18" s="36"/>
      <c r="BM18" s="35">
        <v>10532.4</v>
      </c>
      <c r="BN18" s="36"/>
      <c r="BO18" s="35">
        <v>9123.95</v>
      </c>
      <c r="BP18" s="37"/>
      <c r="BQ18" s="35">
        <v>9113.51</v>
      </c>
      <c r="BR18" s="36"/>
      <c r="BS18" s="35">
        <v>9038.28</v>
      </c>
      <c r="BT18" s="36"/>
      <c r="BU18" s="35">
        <f t="shared" si="19"/>
        <v>114560.96</v>
      </c>
      <c r="BV18" s="221"/>
      <c r="BW18" s="222"/>
      <c r="BX18" s="223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7"/>
    </row>
    <row r="19" s="206" customFormat="1" ht="27" customHeight="1" spans="1:88">
      <c r="A19" s="45"/>
      <c r="B19" s="34" t="s">
        <v>275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0.0195247270391778</v>
      </c>
      <c r="K19" s="35">
        <v>1255.29</v>
      </c>
      <c r="L19" s="36">
        <f t="shared" si="4"/>
        <v>0.0170550298159191</v>
      </c>
      <c r="M19" s="224">
        <v>1279.83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175"/>
      <c r="R19" s="127"/>
      <c r="S19" s="35">
        <f t="shared" si="7"/>
        <v>8626.05</v>
      </c>
      <c r="T19" s="36">
        <f t="shared" si="8"/>
        <v>-0.110941050971662</v>
      </c>
      <c r="U19" s="38"/>
      <c r="V19" s="35">
        <v>1345.85</v>
      </c>
      <c r="W19" s="36">
        <f t="shared" si="9"/>
        <v>-0.0686352532473374</v>
      </c>
      <c r="X19" s="35">
        <v>1123.95</v>
      </c>
      <c r="Y19" s="36">
        <f>X19/AY19-1</f>
        <v>-0.0375657207446353</v>
      </c>
      <c r="Z19" s="35">
        <v>1226.89</v>
      </c>
      <c r="AA19" s="36">
        <f>Z19/BA19-1</f>
        <v>-0.117173839522785</v>
      </c>
      <c r="AB19" s="35">
        <v>1323.45</v>
      </c>
      <c r="AC19" s="36">
        <f>AB19/BC19-1</f>
        <v>-0.0840035436940241</v>
      </c>
      <c r="AD19" s="35">
        <v>1234.24</v>
      </c>
      <c r="AE19" s="36">
        <f>AD19/BE19-1</f>
        <v>-0.0931640510198084</v>
      </c>
      <c r="AF19" s="224">
        <v>1255.71</v>
      </c>
      <c r="AG19" s="36">
        <f t="shared" si="10"/>
        <v>-0.0993975471562791</v>
      </c>
      <c r="AH19" s="35">
        <v>1126.88</v>
      </c>
      <c r="AI19" s="36">
        <f t="shared" si="11"/>
        <v>-0.127295256534366</v>
      </c>
      <c r="AJ19" s="35">
        <v>1065.48</v>
      </c>
      <c r="AK19" s="36">
        <f t="shared" si="12"/>
        <v>-0.0987235554352516</v>
      </c>
      <c r="AL19" s="35">
        <v>1269.28</v>
      </c>
      <c r="AM19" s="36">
        <f t="shared" si="13"/>
        <v>-0.0533695295486412</v>
      </c>
      <c r="AN19" s="35">
        <v>1210.72</v>
      </c>
      <c r="AO19" s="36">
        <f t="shared" si="14"/>
        <v>-0.0762023210920272</v>
      </c>
      <c r="AP19" s="35">
        <v>1302.2</v>
      </c>
      <c r="AQ19" s="36">
        <f t="shared" si="15"/>
        <v>-0.0461261234864523</v>
      </c>
      <c r="AR19" s="35">
        <v>1265.46</v>
      </c>
      <c r="AS19" s="36">
        <f t="shared" si="16"/>
        <v>-0.0575960679177837</v>
      </c>
      <c r="AT19" s="35">
        <f t="shared" si="17"/>
        <v>14750.11</v>
      </c>
      <c r="AU19" s="36">
        <f t="shared" si="18"/>
        <v>-0.0801636111696614</v>
      </c>
      <c r="AV19" s="47"/>
      <c r="AW19" s="35">
        <v>1445.03</v>
      </c>
      <c r="AX19" s="36"/>
      <c r="AY19" s="35">
        <v>1167.82</v>
      </c>
      <c r="AZ19" s="36"/>
      <c r="BA19" s="35">
        <v>1389.73</v>
      </c>
      <c r="BB19" s="36"/>
      <c r="BC19" s="35">
        <v>1444.82</v>
      </c>
      <c r="BD19" s="36"/>
      <c r="BE19" s="35">
        <v>1361.04</v>
      </c>
      <c r="BF19" s="36"/>
      <c r="BG19" s="35">
        <v>1394.3</v>
      </c>
      <c r="BH19" s="36"/>
      <c r="BI19" s="35">
        <v>1291.25</v>
      </c>
      <c r="BJ19" s="36">
        <f>BI19/CD19-1</f>
        <v>0.0454619059185493</v>
      </c>
      <c r="BK19" s="35">
        <v>1182.19</v>
      </c>
      <c r="BL19" s="36">
        <f>BK19/CE19-1</f>
        <v>0.0427714562935522</v>
      </c>
      <c r="BM19" s="35">
        <v>1340.84</v>
      </c>
      <c r="BN19" s="36">
        <f>BM19/CF19-1</f>
        <v>0.0696001084884212</v>
      </c>
      <c r="BO19" s="35">
        <v>1310.59</v>
      </c>
      <c r="BP19" s="36">
        <f>BO19/CG19-1</f>
        <v>0.032212587324465</v>
      </c>
      <c r="BQ19" s="35">
        <v>1365.17</v>
      </c>
      <c r="BR19" s="36">
        <f>BQ19/CH19-1</f>
        <v>0.0264976352138835</v>
      </c>
      <c r="BS19" s="35">
        <v>1342.8</v>
      </c>
      <c r="BT19" s="36">
        <f>BS19/CI19-1</f>
        <v>0.0679943689304945</v>
      </c>
      <c r="BU19" s="35">
        <f t="shared" si="19"/>
        <v>16035.58</v>
      </c>
      <c r="BV19" s="221"/>
      <c r="BW19" s="222"/>
      <c r="BX19" s="223"/>
      <c r="BY19" s="46"/>
      <c r="BZ19" s="46"/>
      <c r="CA19" s="46"/>
      <c r="CB19" s="46"/>
      <c r="CC19" s="46"/>
      <c r="CD19" s="41">
        <v>1235.1</v>
      </c>
      <c r="CE19" s="41">
        <v>1133.7</v>
      </c>
      <c r="CF19" s="41">
        <v>1253.59</v>
      </c>
      <c r="CG19" s="41">
        <v>1269.69</v>
      </c>
      <c r="CH19" s="41">
        <v>1329.93</v>
      </c>
      <c r="CI19" s="41">
        <v>1257.31</v>
      </c>
      <c r="CJ19" s="35">
        <f>BX19+BY19+BZ19+CA19+CB19+CC19+CD19+CE19+CF19+CG19+CH19+CI19</f>
        <v>7479.32</v>
      </c>
    </row>
    <row r="20" s="206" customFormat="1" ht="27" customHeight="1" spans="1:88">
      <c r="A20" s="29"/>
      <c r="B20" s="34" t="s">
        <v>276</v>
      </c>
      <c r="C20" s="35">
        <v>5963.69</v>
      </c>
      <c r="D20" s="36">
        <f t="shared" si="0"/>
        <v>-0.0636173506718628</v>
      </c>
      <c r="E20" s="35">
        <v>5670.03</v>
      </c>
      <c r="F20" s="36">
        <f t="shared" si="1"/>
        <v>0.0099588181228758</v>
      </c>
      <c r="G20" s="225">
        <v>5431.49</v>
      </c>
      <c r="H20" s="36">
        <f t="shared" si="2"/>
        <v>-0.0299923385058837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224">
        <v>5732.65</v>
      </c>
      <c r="N20" s="36">
        <f t="shared" si="5"/>
        <v>-0.00526635432934242</v>
      </c>
      <c r="O20" s="35">
        <v>5221.57</v>
      </c>
      <c r="P20" s="36">
        <f t="shared" si="6"/>
        <v>-0.0230103563443135</v>
      </c>
      <c r="Q20" s="175"/>
      <c r="R20" s="127"/>
      <c r="S20" s="35">
        <f t="shared" si="7"/>
        <v>40059.46</v>
      </c>
      <c r="T20" s="36">
        <f t="shared" si="8"/>
        <v>-0.123952736547431</v>
      </c>
      <c r="U20" s="38"/>
      <c r="V20" s="35">
        <v>6368.86</v>
      </c>
      <c r="W20" s="36">
        <f t="shared" si="9"/>
        <v>0.0341475929438049</v>
      </c>
      <c r="X20" s="35">
        <v>5614.12</v>
      </c>
      <c r="Y20" s="36">
        <f>X20/AY20-1</f>
        <v>0.117344542364246</v>
      </c>
      <c r="Z20" s="35">
        <v>5599.43</v>
      </c>
      <c r="AA20" s="36">
        <f>Z20/BA20-1</f>
        <v>-0.0563627845524345</v>
      </c>
      <c r="AB20" s="35">
        <v>6147.61</v>
      </c>
      <c r="AC20" s="36">
        <f>AB20/BC20-1</f>
        <v>-0.0036175450937046</v>
      </c>
      <c r="AD20" s="35">
        <v>5745.07</v>
      </c>
      <c r="AE20" s="36">
        <f>AD20/BE20-1</f>
        <v>-0.0107294511466445</v>
      </c>
      <c r="AF20" s="224">
        <v>5763</v>
      </c>
      <c r="AG20" s="36">
        <f t="shared" si="10"/>
        <v>-0.153467288113435</v>
      </c>
      <c r="AH20" s="35">
        <v>5344.55</v>
      </c>
      <c r="AI20" s="36">
        <f t="shared" si="11"/>
        <v>-0.152324760703891</v>
      </c>
      <c r="AJ20" s="35">
        <v>5144.87</v>
      </c>
      <c r="AK20" s="36">
        <f t="shared" si="12"/>
        <v>-0.145160271960548</v>
      </c>
      <c r="AL20" s="35">
        <v>5760.58</v>
      </c>
      <c r="AM20" s="36">
        <f t="shared" si="13"/>
        <v>-0.0862995208313837</v>
      </c>
      <c r="AN20" s="35">
        <v>5798.57</v>
      </c>
      <c r="AO20" s="36">
        <f t="shared" si="14"/>
        <v>-0.110206605736593</v>
      </c>
      <c r="AP20" s="35">
        <v>5945.63</v>
      </c>
      <c r="AQ20" s="36">
        <f t="shared" si="15"/>
        <v>-0.0919777210673973</v>
      </c>
      <c r="AR20" s="35">
        <v>5707.62</v>
      </c>
      <c r="AS20" s="36">
        <f t="shared" si="16"/>
        <v>-0.113451029975055</v>
      </c>
      <c r="AT20" s="35">
        <f t="shared" si="17"/>
        <v>68939.91</v>
      </c>
      <c r="AU20" s="36">
        <f t="shared" si="18"/>
        <v>-0.0687929750104179</v>
      </c>
      <c r="AV20" s="47"/>
      <c r="AW20" s="35">
        <v>6158.56</v>
      </c>
      <c r="AX20" s="36"/>
      <c r="AY20" s="35">
        <v>5024.52</v>
      </c>
      <c r="AZ20" s="36"/>
      <c r="BA20" s="35">
        <v>5933.88</v>
      </c>
      <c r="BB20" s="36"/>
      <c r="BC20" s="35">
        <v>6169.93</v>
      </c>
      <c r="BD20" s="36"/>
      <c r="BE20" s="35">
        <v>5807.38</v>
      </c>
      <c r="BF20" s="36"/>
      <c r="BG20" s="35">
        <v>6807.77</v>
      </c>
      <c r="BH20" s="36"/>
      <c r="BI20" s="35">
        <v>6304.95</v>
      </c>
      <c r="BJ20" s="36"/>
      <c r="BK20" s="35">
        <v>6018.52</v>
      </c>
      <c r="BL20" s="36"/>
      <c r="BM20" s="35">
        <v>6304.67</v>
      </c>
      <c r="BN20" s="36"/>
      <c r="BO20" s="35">
        <v>6516.76</v>
      </c>
      <c r="BP20" s="37"/>
      <c r="BQ20" s="35">
        <v>6547.89</v>
      </c>
      <c r="BR20" s="36"/>
      <c r="BS20" s="35">
        <v>6438.02</v>
      </c>
      <c r="BT20" s="36"/>
      <c r="BU20" s="35">
        <f t="shared" si="19"/>
        <v>74032.85</v>
      </c>
      <c r="BV20" s="221"/>
      <c r="BW20" s="222"/>
      <c r="BX20" s="223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7"/>
    </row>
    <row r="21" s="207" customFormat="1" ht="27" customHeight="1" spans="1:88">
      <c r="A21" s="48" t="s">
        <v>96</v>
      </c>
      <c r="B21" s="34" t="s">
        <v>273</v>
      </c>
      <c r="C21" s="35">
        <v>1068.03</v>
      </c>
      <c r="D21" s="36">
        <f t="shared" si="0"/>
        <v>-0.0798952419514632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-0.0994725510290426</v>
      </c>
      <c r="I21" s="35">
        <v>1114.68</v>
      </c>
      <c r="J21" s="36">
        <f t="shared" si="3"/>
        <v>-0.0278557848284522</v>
      </c>
      <c r="K21" s="35">
        <v>1096.97</v>
      </c>
      <c r="L21" s="36">
        <f t="shared" si="4"/>
        <v>0.00633910059996712</v>
      </c>
      <c r="M21" s="224">
        <v>1134.97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175"/>
      <c r="R21" s="127"/>
      <c r="S21" s="103">
        <f t="shared" si="7"/>
        <v>7307.46</v>
      </c>
      <c r="T21" s="104">
        <f t="shared" si="8"/>
        <v>-0.128448803317578</v>
      </c>
      <c r="U21" s="38"/>
      <c r="V21" s="35">
        <v>1160.77</v>
      </c>
      <c r="W21" s="36">
        <f t="shared" si="9"/>
        <v>0.0538467125451674</v>
      </c>
      <c r="X21" s="35">
        <v>943.53</v>
      </c>
      <c r="Y21" s="36">
        <f>X21/AY21-1</f>
        <v>0.0407346128391792</v>
      </c>
      <c r="Z21" s="35">
        <v>1063.61</v>
      </c>
      <c r="AA21" s="36">
        <f>Z21/BA21-1</f>
        <v>0.0104694135418348</v>
      </c>
      <c r="AB21" s="35">
        <v>1146.62</v>
      </c>
      <c r="AC21" s="36">
        <f>AB21/BC21-1</f>
        <v>0.00156355092022387</v>
      </c>
      <c r="AD21" s="35">
        <v>1090.06</v>
      </c>
      <c r="AE21" s="36">
        <f>AD21/BE21-1</f>
        <v>-0.0166794461233143</v>
      </c>
      <c r="AF21" s="224">
        <v>1075.39</v>
      </c>
      <c r="AG21" s="36">
        <f t="shared" si="10"/>
        <v>-0.0435111312716242</v>
      </c>
      <c r="AH21" s="35">
        <v>966.49</v>
      </c>
      <c r="AI21" s="36">
        <f t="shared" si="11"/>
        <v>-0.0769576055087052</v>
      </c>
      <c r="AJ21" s="35">
        <v>937.96</v>
      </c>
      <c r="AK21" s="36">
        <f t="shared" si="12"/>
        <v>-0.0289163362287631</v>
      </c>
      <c r="AL21" s="35">
        <v>1030.06</v>
      </c>
      <c r="AM21" s="36">
        <f t="shared" si="13"/>
        <v>0.00904166217685609</v>
      </c>
      <c r="AN21" s="35">
        <v>1038.47</v>
      </c>
      <c r="AO21" s="36">
        <f t="shared" si="14"/>
        <v>-0.0267385192127459</v>
      </c>
      <c r="AP21" s="35">
        <v>1129.25</v>
      </c>
      <c r="AQ21" s="36">
        <f t="shared" si="15"/>
        <v>-0.040740394661955</v>
      </c>
      <c r="AR21" s="35">
        <v>1080.45</v>
      </c>
      <c r="AS21" s="36">
        <f t="shared" si="16"/>
        <v>-0.060372042056928</v>
      </c>
      <c r="AT21" s="35">
        <f t="shared" si="17"/>
        <v>12662.66</v>
      </c>
      <c r="AU21" s="36">
        <f t="shared" si="18"/>
        <v>-0.0158205096916652</v>
      </c>
      <c r="AV21" s="44"/>
      <c r="AW21" s="38">
        <v>1101.46</v>
      </c>
      <c r="AX21" s="37">
        <f>AW21/BX21-1</f>
        <v>0.765499775597871</v>
      </c>
      <c r="AY21" s="38">
        <v>906.6</v>
      </c>
      <c r="AZ21" s="37">
        <f>AY21/BY21-1</f>
        <v>0.069532595616167</v>
      </c>
      <c r="BA21" s="38">
        <v>1052.59</v>
      </c>
      <c r="BB21" s="37">
        <f>BA21/BZ21-1</f>
        <v>0.0365442943238665</v>
      </c>
      <c r="BC21" s="38">
        <v>1144.83</v>
      </c>
      <c r="BD21" s="37">
        <f>BC21/CA21-1</f>
        <v>0.0255943955709244</v>
      </c>
      <c r="BE21" s="38">
        <v>1108.55</v>
      </c>
      <c r="BF21" s="37">
        <f>BE21/CB21-1</f>
        <v>0.0662415358571866</v>
      </c>
      <c r="BG21" s="38">
        <v>1124.31</v>
      </c>
      <c r="BH21" s="37">
        <f>BG21/CC21-1</f>
        <v>0.0477508457043809</v>
      </c>
      <c r="BI21" s="38">
        <v>1047.07</v>
      </c>
      <c r="BJ21" s="37">
        <f>BI21/CD21-1</f>
        <v>-0.00070623490900068</v>
      </c>
      <c r="BK21" s="38">
        <v>965.89</v>
      </c>
      <c r="BL21" s="37">
        <f>BK21/CE21-1</f>
        <v>-0.0479996846016618</v>
      </c>
      <c r="BM21" s="38">
        <v>1020.83</v>
      </c>
      <c r="BN21" s="37">
        <f>BM21/CF21-1</f>
        <v>-0.0782656590008216</v>
      </c>
      <c r="BO21" s="38">
        <v>1067</v>
      </c>
      <c r="BP21" s="37">
        <f>BO21/CG21-1</f>
        <v>-0.0683256930801135</v>
      </c>
      <c r="BQ21" s="38">
        <v>1177.21</v>
      </c>
      <c r="BR21" s="37">
        <f>BQ21/CH21-1</f>
        <v>-0.0341871226043582</v>
      </c>
      <c r="BS21" s="38">
        <v>1149.87</v>
      </c>
      <c r="BT21" s="37">
        <f>BS21/CI21-1</f>
        <v>0.0163428733051669</v>
      </c>
      <c r="BU21" s="38">
        <f t="shared" si="19"/>
        <v>12866.21</v>
      </c>
      <c r="BV21" s="219">
        <f>BU21/CJ21-1</f>
        <v>0.0391521186936907</v>
      </c>
      <c r="BW21" s="204"/>
      <c r="BX21" s="226">
        <v>623.88</v>
      </c>
      <c r="BY21" s="197">
        <v>847.66</v>
      </c>
      <c r="BZ21" s="197">
        <v>1015.48</v>
      </c>
      <c r="CA21" s="197">
        <v>1116.26</v>
      </c>
      <c r="CB21" s="197">
        <v>1039.68</v>
      </c>
      <c r="CC21" s="197">
        <v>1073.07</v>
      </c>
      <c r="CD21" s="197">
        <v>1047.81</v>
      </c>
      <c r="CE21" s="197">
        <v>1014.59</v>
      </c>
      <c r="CF21" s="197">
        <v>1107.51</v>
      </c>
      <c r="CG21" s="197">
        <v>1145.25</v>
      </c>
      <c r="CH21" s="197">
        <v>1218.88</v>
      </c>
      <c r="CI21" s="197">
        <v>1131.38</v>
      </c>
      <c r="CJ21" s="38">
        <f>BX21+BY21+BZ21+CA21+CB21+CC21+CD21+CE21+CF21+CG21+CH21+CI21</f>
        <v>12381.45</v>
      </c>
    </row>
    <row r="22" ht="27" customHeight="1" spans="1:88">
      <c r="A22" s="45"/>
      <c r="B22" s="34" t="s">
        <v>274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-0.0862627908636863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224">
        <v>4519.92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175"/>
      <c r="R22" s="127"/>
      <c r="S22" s="35">
        <f t="shared" si="7"/>
        <v>28241.91</v>
      </c>
      <c r="T22" s="36">
        <f t="shared" si="8"/>
        <v>-0.108599851527524</v>
      </c>
      <c r="U22" s="38"/>
      <c r="V22" s="35">
        <v>4220.23</v>
      </c>
      <c r="W22" s="36">
        <f t="shared" si="9"/>
        <v>0.199767451116405</v>
      </c>
      <c r="X22" s="35">
        <v>3636.91</v>
      </c>
      <c r="Y22" s="36">
        <f>X22/AW22-1</f>
        <v>0.0339356482086912</v>
      </c>
      <c r="Z22" s="35">
        <v>4062.47</v>
      </c>
      <c r="AA22" s="36">
        <f>Z22/AY22-1</f>
        <v>0.371672929982544</v>
      </c>
      <c r="AB22" s="35">
        <v>4231.15</v>
      </c>
      <c r="AC22" s="36">
        <f>AB22/BA22-1</f>
        <v>0.239683102408668</v>
      </c>
      <c r="AD22" s="35">
        <v>4147.38</v>
      </c>
      <c r="AE22" s="36">
        <f>AD22/BC22-1</f>
        <v>0.136330757849745</v>
      </c>
      <c r="AF22" s="224">
        <v>4081.66</v>
      </c>
      <c r="AG22" s="36">
        <f t="shared" si="10"/>
        <v>0.125984490906132</v>
      </c>
      <c r="AH22" s="35">
        <v>3666.92</v>
      </c>
      <c r="AI22" s="36">
        <f t="shared" si="11"/>
        <v>0.0938976659825308</v>
      </c>
      <c r="AJ22" s="35">
        <v>3635.92</v>
      </c>
      <c r="AK22" s="36">
        <f t="shared" si="12"/>
        <v>0.161784253578732</v>
      </c>
      <c r="AL22" s="35">
        <v>4016.28</v>
      </c>
      <c r="AM22" s="36">
        <f t="shared" si="13"/>
        <v>0.220397695505263</v>
      </c>
      <c r="AN22" s="35">
        <v>4082.51</v>
      </c>
      <c r="AO22" s="36">
        <f t="shared" si="14"/>
        <v>0.177398050412413</v>
      </c>
      <c r="AP22" s="35">
        <v>4249.16</v>
      </c>
      <c r="AQ22" s="36">
        <f t="shared" si="15"/>
        <v>0.0337683317276347</v>
      </c>
      <c r="AR22" s="35">
        <v>4025.8</v>
      </c>
      <c r="AS22" s="36">
        <f t="shared" si="16"/>
        <v>-0.016110584301956</v>
      </c>
      <c r="AT22" s="35">
        <f t="shared" si="17"/>
        <v>48056.39</v>
      </c>
      <c r="AU22" s="36">
        <f t="shared" si="18"/>
        <v>0.138697683147193</v>
      </c>
      <c r="AV22" s="47"/>
      <c r="AW22" s="35">
        <v>3517.54</v>
      </c>
      <c r="AX22" s="36"/>
      <c r="AY22" s="35">
        <v>2961.69</v>
      </c>
      <c r="AZ22" s="36"/>
      <c r="BA22" s="35">
        <v>3413.09</v>
      </c>
      <c r="BB22" s="36"/>
      <c r="BC22" s="35">
        <v>3649.8</v>
      </c>
      <c r="BD22" s="36"/>
      <c r="BE22" s="35">
        <v>3593.65</v>
      </c>
      <c r="BF22" s="36"/>
      <c r="BG22" s="35">
        <v>3624.97</v>
      </c>
      <c r="BH22" s="36"/>
      <c r="BI22" s="35">
        <v>3352.16</v>
      </c>
      <c r="BJ22" s="36"/>
      <c r="BK22" s="35">
        <v>3129.6</v>
      </c>
      <c r="BL22" s="36"/>
      <c r="BM22" s="35">
        <v>3290.96</v>
      </c>
      <c r="BN22" s="36"/>
      <c r="BO22" s="35">
        <v>3467.4</v>
      </c>
      <c r="BP22" s="37"/>
      <c r="BQ22" s="35">
        <v>4110.36</v>
      </c>
      <c r="BR22" s="36"/>
      <c r="BS22" s="35">
        <v>4091.72</v>
      </c>
      <c r="BT22" s="36"/>
      <c r="BU22" s="35">
        <f t="shared" si="19"/>
        <v>42202.94</v>
      </c>
      <c r="BV22" s="221"/>
      <c r="BW22" s="222"/>
      <c r="BX22" s="223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7"/>
    </row>
    <row r="23" ht="27" customHeight="1" spans="1:88">
      <c r="A23" s="45"/>
      <c r="B23" s="34" t="s">
        <v>275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24">
        <v>1092</v>
      </c>
      <c r="N23" s="36">
        <f t="shared" si="5"/>
        <v>0.0568389675496239</v>
      </c>
      <c r="O23" s="35">
        <v>957.12</v>
      </c>
      <c r="P23" s="36">
        <f t="shared" si="6"/>
        <v>0.0321690086165063</v>
      </c>
      <c r="Q23" s="175"/>
      <c r="R23" s="127"/>
      <c r="S23" s="35">
        <f t="shared" si="7"/>
        <v>7041.66</v>
      </c>
      <c r="T23" s="36">
        <f t="shared" si="8"/>
        <v>-0.123400801451027</v>
      </c>
      <c r="U23" s="38"/>
      <c r="V23" s="35">
        <v>1113.74</v>
      </c>
      <c r="W23" s="36">
        <f t="shared" si="9"/>
        <v>0.0374075523016451</v>
      </c>
      <c r="X23" s="35">
        <v>895.27</v>
      </c>
      <c r="Y23" s="36">
        <f>X23/AY23-1</f>
        <v>0.0201809562878892</v>
      </c>
      <c r="Z23" s="35">
        <v>1016.02</v>
      </c>
      <c r="AA23" s="36">
        <f>Z23/BA23-1</f>
        <v>-0.00781234741508952</v>
      </c>
      <c r="AB23" s="35">
        <v>1101.8</v>
      </c>
      <c r="AC23" s="36">
        <f>AB23/BC23-1</f>
        <v>-0.0138374236972594</v>
      </c>
      <c r="AD23" s="35">
        <v>1048.77</v>
      </c>
      <c r="AE23" s="36">
        <f>AD23/BE23-1</f>
        <v>-0.0276381909547738</v>
      </c>
      <c r="AF23" s="224">
        <v>1033.27</v>
      </c>
      <c r="AG23" s="36">
        <f t="shared" si="10"/>
        <v>-0.0568051118210863</v>
      </c>
      <c r="AH23" s="35">
        <v>927.29</v>
      </c>
      <c r="AI23" s="36">
        <f t="shared" si="11"/>
        <v>-0.0919159770846595</v>
      </c>
      <c r="AJ23" s="35">
        <v>896.77</v>
      </c>
      <c r="AK23" s="36">
        <f t="shared" si="12"/>
        <v>-0.0430982969823722</v>
      </c>
      <c r="AL23" s="35">
        <v>986.13</v>
      </c>
      <c r="AM23" s="36">
        <f t="shared" si="13"/>
        <v>-0.00670836732843805</v>
      </c>
      <c r="AN23" s="35">
        <v>994.84</v>
      </c>
      <c r="AO23" s="36">
        <f t="shared" si="14"/>
        <v>-0.0415430267062314</v>
      </c>
      <c r="AP23" s="35">
        <v>1086.66</v>
      </c>
      <c r="AQ23" s="36">
        <f t="shared" si="15"/>
        <v>-0.0417291310252385</v>
      </c>
      <c r="AR23" s="35">
        <v>1037.18</v>
      </c>
      <c r="AS23" s="36">
        <f t="shared" si="16"/>
        <v>-0.0617406800973377</v>
      </c>
      <c r="AT23" s="35">
        <f t="shared" si="17"/>
        <v>12137.74</v>
      </c>
      <c r="AU23" s="36">
        <f t="shared" si="18"/>
        <v>-0.0285899045776018</v>
      </c>
      <c r="AV23" s="47"/>
      <c r="AW23" s="35">
        <v>1073.58</v>
      </c>
      <c r="AX23" s="36"/>
      <c r="AY23" s="35">
        <v>877.56</v>
      </c>
      <c r="AZ23" s="36"/>
      <c r="BA23" s="35">
        <v>1024.02</v>
      </c>
      <c r="BB23" s="36"/>
      <c r="BC23" s="35">
        <v>1117.26</v>
      </c>
      <c r="BD23" s="36"/>
      <c r="BE23" s="35">
        <v>1078.58</v>
      </c>
      <c r="BF23" s="36"/>
      <c r="BG23" s="35">
        <v>1095.5</v>
      </c>
      <c r="BH23" s="36"/>
      <c r="BI23" s="35">
        <v>1021.15</v>
      </c>
      <c r="BJ23" s="36">
        <f>BI23/CD23-1</f>
        <v>-0.00314339545281483</v>
      </c>
      <c r="BK23" s="35">
        <v>937.16</v>
      </c>
      <c r="BL23" s="36">
        <f>BK23/CE23-1</f>
        <v>-0.0523399263843385</v>
      </c>
      <c r="BM23" s="35">
        <v>992.79</v>
      </c>
      <c r="BN23" s="36">
        <f>BM23/CF23-1</f>
        <v>-0.0820334532274321</v>
      </c>
      <c r="BO23" s="35">
        <v>1037.96</v>
      </c>
      <c r="BP23" s="36">
        <f>BO23/CG23-1</f>
        <v>-0.0725709894744366</v>
      </c>
      <c r="BQ23" s="35">
        <v>1133.98</v>
      </c>
      <c r="BR23" s="36">
        <f>BQ23/CH23-1</f>
        <v>-0.0490175523930126</v>
      </c>
      <c r="BS23" s="35">
        <v>1105.43</v>
      </c>
      <c r="BT23" s="36">
        <f>BS23/CI23-1</f>
        <v>-0.00032555910254195</v>
      </c>
      <c r="BU23" s="35">
        <f t="shared" si="19"/>
        <v>12494.97</v>
      </c>
      <c r="BV23" s="221"/>
      <c r="BW23" s="222"/>
      <c r="BX23" s="227"/>
      <c r="BY23" s="49"/>
      <c r="BZ23" s="49"/>
      <c r="CA23" s="49"/>
      <c r="CB23" s="49"/>
      <c r="CC23" s="49"/>
      <c r="CD23" s="50">
        <v>1024.37</v>
      </c>
      <c r="CE23" s="50">
        <v>988.92</v>
      </c>
      <c r="CF23" s="50">
        <v>1081.51</v>
      </c>
      <c r="CG23" s="50">
        <v>1119.18</v>
      </c>
      <c r="CH23" s="50">
        <v>1192.43</v>
      </c>
      <c r="CI23" s="50">
        <v>1105.79</v>
      </c>
      <c r="CJ23" s="35">
        <f>BX23+BY23+BZ23+CA23+CB23+CC23+CD23+CE23+CF23+CG23+CH23+CI23</f>
        <v>6512.2</v>
      </c>
    </row>
    <row r="24" ht="27" customHeight="1" spans="1:88">
      <c r="A24" s="29"/>
      <c r="B24" s="34" t="s">
        <v>276</v>
      </c>
      <c r="C24" s="35">
        <v>3171.83</v>
      </c>
      <c r="D24" s="36">
        <f t="shared" si="0"/>
        <v>-0.071608790333911</v>
      </c>
      <c r="E24" s="35">
        <v>2792.81</v>
      </c>
      <c r="F24" s="36">
        <f t="shared" si="1"/>
        <v>-0.00180851862309539</v>
      </c>
      <c r="G24" s="225">
        <v>2887.33</v>
      </c>
      <c r="H24" s="36">
        <f t="shared" si="2"/>
        <v>-0.0957539429015245</v>
      </c>
      <c r="I24" s="35">
        <v>3309.77</v>
      </c>
      <c r="J24" s="36">
        <f t="shared" si="3"/>
        <v>-0.0263005380725295</v>
      </c>
      <c r="K24" s="35">
        <v>3316.89</v>
      </c>
      <c r="L24" s="36">
        <f t="shared" si="4"/>
        <v>0.00662506904274873</v>
      </c>
      <c r="M24" s="224">
        <v>3412.92</v>
      </c>
      <c r="N24" s="36">
        <f t="shared" si="5"/>
        <v>0.0596760972701758</v>
      </c>
      <c r="O24" s="35">
        <v>2992.97</v>
      </c>
      <c r="P24" s="36">
        <f t="shared" si="6"/>
        <v>0.0415366037840903</v>
      </c>
      <c r="Q24" s="175"/>
      <c r="R24" s="127"/>
      <c r="S24" s="35">
        <f t="shared" si="7"/>
        <v>21884.52</v>
      </c>
      <c r="T24" s="36">
        <f t="shared" si="8"/>
        <v>-0.124081035388143</v>
      </c>
      <c r="U24" s="38"/>
      <c r="V24" s="35">
        <v>3416.48</v>
      </c>
      <c r="W24" s="36">
        <f t="shared" si="9"/>
        <v>0.0538511366791079</v>
      </c>
      <c r="X24" s="35">
        <v>2797.87</v>
      </c>
      <c r="Y24" s="36">
        <f>X24/AY24-1</f>
        <v>0.047628497717801</v>
      </c>
      <c r="Z24" s="35">
        <v>3193.08</v>
      </c>
      <c r="AA24" s="36">
        <f>Z24/BA24-1</f>
        <v>0.0193229158353416</v>
      </c>
      <c r="AB24" s="35">
        <v>3399.17</v>
      </c>
      <c r="AC24" s="36">
        <f>AB24/BC24-1</f>
        <v>0.00907498664133466</v>
      </c>
      <c r="AD24" s="35">
        <v>3295.06</v>
      </c>
      <c r="AE24" s="36">
        <f>AD24/BE24-1</f>
        <v>0.00454552383275142</v>
      </c>
      <c r="AF24" s="224">
        <v>3220.72</v>
      </c>
      <c r="AG24" s="36">
        <f t="shared" si="10"/>
        <v>-0.0282645426019793</v>
      </c>
      <c r="AH24" s="35">
        <v>2873.61</v>
      </c>
      <c r="AI24" s="36">
        <f t="shared" si="11"/>
        <v>-0.0689775830954703</v>
      </c>
      <c r="AJ24" s="35">
        <v>2788.65</v>
      </c>
      <c r="AK24" s="36">
        <f t="shared" si="12"/>
        <v>-0.0205296617610902</v>
      </c>
      <c r="AL24" s="35">
        <v>3080.6</v>
      </c>
      <c r="AM24" s="36">
        <f t="shared" si="13"/>
        <v>0.0223241397390925</v>
      </c>
      <c r="AN24" s="35">
        <v>3123.47</v>
      </c>
      <c r="AO24" s="36">
        <f t="shared" si="14"/>
        <v>-0.0132837574869217</v>
      </c>
      <c r="AP24" s="35">
        <v>3361.92</v>
      </c>
      <c r="AQ24" s="36">
        <f t="shared" si="15"/>
        <v>-0.0219556116704825</v>
      </c>
      <c r="AR24" s="35">
        <v>3191.37</v>
      </c>
      <c r="AS24" s="36">
        <f t="shared" si="16"/>
        <v>-0.0566923920465127</v>
      </c>
      <c r="AT24" s="35">
        <f t="shared" si="17"/>
        <v>37742</v>
      </c>
      <c r="AU24" s="36">
        <f t="shared" si="18"/>
        <v>-0.00525258893411351</v>
      </c>
      <c r="AV24" s="47"/>
      <c r="AW24" s="35">
        <v>3241.9</v>
      </c>
      <c r="AX24" s="36"/>
      <c r="AY24" s="35">
        <v>2670.67</v>
      </c>
      <c r="AZ24" s="36"/>
      <c r="BA24" s="35">
        <v>3132.55</v>
      </c>
      <c r="BB24" s="36"/>
      <c r="BC24" s="35">
        <v>3368.6</v>
      </c>
      <c r="BD24" s="36"/>
      <c r="BE24" s="35">
        <v>3280.15</v>
      </c>
      <c r="BF24" s="36"/>
      <c r="BG24" s="35">
        <v>3314.4</v>
      </c>
      <c r="BH24" s="36"/>
      <c r="BI24" s="35">
        <v>3086.51</v>
      </c>
      <c r="BJ24" s="36"/>
      <c r="BK24" s="35">
        <v>2847.1</v>
      </c>
      <c r="BL24" s="36"/>
      <c r="BM24" s="35">
        <v>3013.33</v>
      </c>
      <c r="BN24" s="36"/>
      <c r="BO24" s="35">
        <v>3165.52</v>
      </c>
      <c r="BP24" s="37"/>
      <c r="BQ24" s="35">
        <v>3437.39</v>
      </c>
      <c r="BR24" s="36"/>
      <c r="BS24" s="35">
        <v>3383.17</v>
      </c>
      <c r="BT24" s="36"/>
      <c r="BU24" s="35">
        <f t="shared" si="19"/>
        <v>37941.29</v>
      </c>
      <c r="BV24" s="221"/>
      <c r="BW24" s="222"/>
      <c r="BX24" s="227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7"/>
    </row>
    <row r="25" s="207" customFormat="1" ht="27" customHeight="1" spans="1:88">
      <c r="A25" s="48" t="s">
        <v>97</v>
      </c>
      <c r="B25" s="34" t="s">
        <v>273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-0.0955615999593273</v>
      </c>
      <c r="I25" s="35">
        <v>1428.4</v>
      </c>
      <c r="J25" s="36">
        <f t="shared" si="3"/>
        <v>0.0063265277366813</v>
      </c>
      <c r="K25" s="35">
        <v>1507.8</v>
      </c>
      <c r="L25" s="36">
        <f t="shared" si="4"/>
        <v>-0.0202410734591768</v>
      </c>
      <c r="M25" s="224">
        <v>1556.78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175"/>
      <c r="R25" s="127"/>
      <c r="S25" s="103">
        <f t="shared" si="7"/>
        <v>10134.93</v>
      </c>
      <c r="T25" s="104">
        <f t="shared" si="8"/>
        <v>-0.179444269024313</v>
      </c>
      <c r="U25" s="38"/>
      <c r="V25" s="35">
        <v>1928.91</v>
      </c>
      <c r="W25" s="36">
        <f t="shared" si="9"/>
        <v>-0.0116719356045274</v>
      </c>
      <c r="X25" s="35">
        <v>1676.38</v>
      </c>
      <c r="Y25" s="36">
        <f>X25/AY25-1</f>
        <v>0.000328195580697521</v>
      </c>
      <c r="Z25" s="35">
        <v>1573.54</v>
      </c>
      <c r="AA25" s="36">
        <f>Z25/BA25-1</f>
        <v>0.0232210322337321</v>
      </c>
      <c r="AB25" s="35">
        <v>1419.42</v>
      </c>
      <c r="AC25" s="36">
        <f>AB25/BC25-1</f>
        <v>-0.126478516129826</v>
      </c>
      <c r="AD25" s="35">
        <v>1538.95</v>
      </c>
      <c r="AE25" s="36">
        <f>AD25/BE25-1</f>
        <v>-0.108568217889457</v>
      </c>
      <c r="AF25" s="224">
        <v>1413.31</v>
      </c>
      <c r="AG25" s="36">
        <f t="shared" si="10"/>
        <v>-0.130746852493096</v>
      </c>
      <c r="AH25" s="35">
        <v>1376.51</v>
      </c>
      <c r="AI25" s="36">
        <f t="shared" si="11"/>
        <v>-0.134482736938738</v>
      </c>
      <c r="AJ25" s="35">
        <v>1424.28</v>
      </c>
      <c r="AK25" s="36">
        <f t="shared" si="12"/>
        <v>-0.111590713457004</v>
      </c>
      <c r="AL25" s="35">
        <v>1394.85</v>
      </c>
      <c r="AM25" s="36">
        <f t="shared" si="13"/>
        <v>-0.136412040763259</v>
      </c>
      <c r="AN25" s="35">
        <v>1508.55</v>
      </c>
      <c r="AO25" s="36">
        <f t="shared" si="14"/>
        <v>-0.139053760986189</v>
      </c>
      <c r="AP25" s="35">
        <v>1713.97</v>
      </c>
      <c r="AQ25" s="36">
        <f t="shared" si="15"/>
        <v>-0.135402216516427</v>
      </c>
      <c r="AR25" s="35">
        <v>1302.99</v>
      </c>
      <c r="AS25" s="36">
        <f t="shared" si="16"/>
        <v>-0.525144225337741</v>
      </c>
      <c r="AT25" s="35">
        <f t="shared" si="17"/>
        <v>18271.66</v>
      </c>
      <c r="AU25" s="36">
        <f t="shared" si="18"/>
        <v>-0.147374202456664</v>
      </c>
      <c r="AV25" s="44"/>
      <c r="AW25" s="38">
        <v>1951.69</v>
      </c>
      <c r="AX25" s="37">
        <f>AW25/BX25-1</f>
        <v>0.448765532906751</v>
      </c>
      <c r="AY25" s="38">
        <v>1675.83</v>
      </c>
      <c r="AZ25" s="37">
        <f>AY25/BY25-1</f>
        <v>0.0607190328501803</v>
      </c>
      <c r="BA25" s="38">
        <v>1537.83</v>
      </c>
      <c r="BB25" s="37">
        <f>BA25/BZ25-1</f>
        <v>-0.0718631178707225</v>
      </c>
      <c r="BC25" s="38">
        <v>1624.94</v>
      </c>
      <c r="BD25" s="37">
        <f>BC25/CA25-1</f>
        <v>-0.121749000108096</v>
      </c>
      <c r="BE25" s="38">
        <v>1726.38</v>
      </c>
      <c r="BF25" s="37">
        <f>BE25/CB25-1</f>
        <v>-0.0960604029656934</v>
      </c>
      <c r="BG25" s="38">
        <v>1625.89</v>
      </c>
      <c r="BH25" s="37">
        <f>BG25/CC25-1</f>
        <v>-0.0311125677849948</v>
      </c>
      <c r="BI25" s="38">
        <v>1590.39</v>
      </c>
      <c r="BJ25" s="37">
        <f>BI25/CD25-1</f>
        <v>-0.0386733318423326</v>
      </c>
      <c r="BK25" s="38">
        <v>1603.18</v>
      </c>
      <c r="BL25" s="37">
        <f>BK25/CE25-1</f>
        <v>-0.00344992633941055</v>
      </c>
      <c r="BM25" s="38">
        <v>1615.18</v>
      </c>
      <c r="BN25" s="37">
        <f>BM25/CF25-1</f>
        <v>-0.0633868564039223</v>
      </c>
      <c r="BO25" s="38">
        <v>1752.2</v>
      </c>
      <c r="BP25" s="37">
        <f>BO25/CG25-1</f>
        <v>-0.107918357372325</v>
      </c>
      <c r="BQ25" s="38">
        <v>1982.39</v>
      </c>
      <c r="BR25" s="37">
        <f>BQ25/CH25-1</f>
        <v>-0.113401462465619</v>
      </c>
      <c r="BS25" s="38">
        <v>2743.97</v>
      </c>
      <c r="BT25" s="37">
        <f>BS25/CI25-1</f>
        <v>0.103635924868278</v>
      </c>
      <c r="BU25" s="38">
        <f t="shared" si="19"/>
        <v>21429.87</v>
      </c>
      <c r="BV25" s="219">
        <f>BU25/CJ25-1</f>
        <v>-0.0122704137012705</v>
      </c>
      <c r="BW25" s="204"/>
      <c r="BX25" s="226">
        <v>1347.14</v>
      </c>
      <c r="BY25" s="197">
        <v>1579.9</v>
      </c>
      <c r="BZ25" s="197">
        <v>1656.9</v>
      </c>
      <c r="CA25" s="197">
        <v>1850.2</v>
      </c>
      <c r="CB25" s="197">
        <v>1909.84</v>
      </c>
      <c r="CC25" s="197">
        <v>1678.1</v>
      </c>
      <c r="CD25" s="197">
        <v>1654.37</v>
      </c>
      <c r="CE25" s="197">
        <v>1608.73</v>
      </c>
      <c r="CF25" s="197">
        <v>1724.49</v>
      </c>
      <c r="CG25" s="197">
        <v>1964.17</v>
      </c>
      <c r="CH25" s="197">
        <v>2235.95</v>
      </c>
      <c r="CI25" s="197">
        <v>2486.3</v>
      </c>
      <c r="CJ25" s="38">
        <f>BX25+BY25+BZ25+CA25+CB25+CC25+CD25+CE25+CF25+CG25+CH25+CI25</f>
        <v>21696.09</v>
      </c>
    </row>
    <row r="26" ht="27" customHeight="1" spans="1:88">
      <c r="A26" s="45"/>
      <c r="B26" s="34" t="s">
        <v>274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-0.114126165636779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-0.0186770304474093</v>
      </c>
      <c r="M26" s="224">
        <v>10216.33</v>
      </c>
      <c r="N26" s="36">
        <f t="shared" si="5"/>
        <v>0.101240580310032</v>
      </c>
      <c r="O26" s="35">
        <v>8785.7</v>
      </c>
      <c r="P26" s="36">
        <f t="shared" si="6"/>
        <v>-0.0295818642914579</v>
      </c>
      <c r="Q26" s="175"/>
      <c r="R26" s="127"/>
      <c r="S26" s="35">
        <f t="shared" si="7"/>
        <v>66630.88</v>
      </c>
      <c r="T26" s="36">
        <f t="shared" si="8"/>
        <v>-0.173459865202425</v>
      </c>
      <c r="U26" s="38"/>
      <c r="V26" s="35">
        <v>12444.28</v>
      </c>
      <c r="W26" s="36">
        <f t="shared" si="9"/>
        <v>-0.0114902537388006</v>
      </c>
      <c r="X26" s="35">
        <v>10871.74</v>
      </c>
      <c r="Y26" s="36">
        <f>X26/AW26-1</f>
        <v>-0.136404761961501</v>
      </c>
      <c r="Z26" s="35">
        <v>10306.78</v>
      </c>
      <c r="AA26" s="36">
        <f>Z26/AY26-1</f>
        <v>-0.049297911768314</v>
      </c>
      <c r="AB26" s="35">
        <v>9336.59</v>
      </c>
      <c r="AC26" s="36">
        <f>AB26/BA26-1</f>
        <v>-0.0629103146619774</v>
      </c>
      <c r="AD26" s="35">
        <v>10078.69</v>
      </c>
      <c r="AE26" s="36">
        <f>AD26/BC26-1</f>
        <v>-0.0424102095379978</v>
      </c>
      <c r="AF26" s="224">
        <v>9277.11</v>
      </c>
      <c r="AG26" s="36">
        <f t="shared" si="10"/>
        <v>-0.11921543979842</v>
      </c>
      <c r="AH26" s="35">
        <v>9053.52</v>
      </c>
      <c r="AI26" s="36">
        <f t="shared" si="11"/>
        <v>-0.121438843894288</v>
      </c>
      <c r="AJ26" s="35">
        <v>9245.5</v>
      </c>
      <c r="AK26" s="36">
        <f t="shared" si="12"/>
        <v>-0.108230553098647</v>
      </c>
      <c r="AL26" s="35">
        <v>9045.51</v>
      </c>
      <c r="AM26" s="36">
        <f t="shared" si="13"/>
        <v>-0.134107630718923</v>
      </c>
      <c r="AN26" s="35">
        <v>9781.77</v>
      </c>
      <c r="AO26" s="36">
        <f t="shared" si="14"/>
        <v>-0.135750144457344</v>
      </c>
      <c r="AP26" s="35">
        <v>11097.2</v>
      </c>
      <c r="AQ26" s="36">
        <f t="shared" si="15"/>
        <v>-0.128257780298525</v>
      </c>
      <c r="AR26" s="35">
        <v>8553.34</v>
      </c>
      <c r="AS26" s="36">
        <f t="shared" si="16"/>
        <v>-0.510656374058095</v>
      </c>
      <c r="AT26" s="35">
        <f t="shared" si="17"/>
        <v>119092.03</v>
      </c>
      <c r="AU26" s="36">
        <f t="shared" si="18"/>
        <v>-0.138523669289873</v>
      </c>
      <c r="AV26" s="47"/>
      <c r="AW26" s="35">
        <v>12588.93</v>
      </c>
      <c r="AX26" s="36"/>
      <c r="AY26" s="35">
        <v>10841.23</v>
      </c>
      <c r="AZ26" s="36"/>
      <c r="BA26" s="35">
        <v>9963.39</v>
      </c>
      <c r="BB26" s="36"/>
      <c r="BC26" s="35">
        <v>10525.06</v>
      </c>
      <c r="BD26" s="36"/>
      <c r="BE26" s="35">
        <v>11144.07</v>
      </c>
      <c r="BF26" s="36"/>
      <c r="BG26" s="35">
        <v>10532.78</v>
      </c>
      <c r="BH26" s="36"/>
      <c r="BI26" s="35">
        <v>10304.94</v>
      </c>
      <c r="BJ26" s="36"/>
      <c r="BK26" s="35">
        <v>10367.59</v>
      </c>
      <c r="BL26" s="36"/>
      <c r="BM26" s="35">
        <v>10446.46</v>
      </c>
      <c r="BN26" s="36"/>
      <c r="BO26" s="35">
        <v>11318.22</v>
      </c>
      <c r="BP26" s="37"/>
      <c r="BQ26" s="35">
        <v>12729.91</v>
      </c>
      <c r="BR26" s="36"/>
      <c r="BS26" s="35">
        <v>17479.21</v>
      </c>
      <c r="BT26" s="36"/>
      <c r="BU26" s="35">
        <f t="shared" si="19"/>
        <v>138241.79</v>
      </c>
      <c r="BV26" s="221"/>
      <c r="BW26" s="222"/>
      <c r="BX26" s="223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275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</v>
      </c>
      <c r="K27" s="35">
        <v>1315.28</v>
      </c>
      <c r="L27" s="36">
        <f t="shared" si="4"/>
        <v>-0.0160981448234589</v>
      </c>
      <c r="M27" s="224">
        <v>1362.58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175"/>
      <c r="R27" s="127"/>
      <c r="S27" s="35">
        <f t="shared" si="7"/>
        <v>8842.28</v>
      </c>
      <c r="T27" s="36">
        <f t="shared" si="8"/>
        <v>-0.209338134501256</v>
      </c>
      <c r="U27" s="38"/>
      <c r="V27" s="35">
        <v>1867.65</v>
      </c>
      <c r="W27" s="36">
        <f t="shared" si="9"/>
        <v>-0.00351609185589885</v>
      </c>
      <c r="X27" s="35">
        <v>1614.17</v>
      </c>
      <c r="Y27" s="36">
        <f>X27/AY27-1</f>
        <v>0.00808128751022652</v>
      </c>
      <c r="Z27" s="35">
        <v>1433.56</v>
      </c>
      <c r="AA27" s="36">
        <f>Z27/BA27-1</f>
        <v>-0.0252466529316172</v>
      </c>
      <c r="AB27" s="35">
        <v>1278.01</v>
      </c>
      <c r="AC27" s="36">
        <f>AB27/BC27-1</f>
        <v>-0.18012163358524</v>
      </c>
      <c r="AD27" s="35">
        <v>1336.8</v>
      </c>
      <c r="AE27" s="36">
        <f>AD27/BE27-1</f>
        <v>-0.195479083539459</v>
      </c>
      <c r="AF27" s="224">
        <v>1227.4</v>
      </c>
      <c r="AG27" s="36">
        <f t="shared" si="10"/>
        <v>-0.213865279797093</v>
      </c>
      <c r="AH27" s="35">
        <v>1189.59</v>
      </c>
      <c r="AI27" s="36">
        <f t="shared" si="11"/>
        <v>-0.219997246100281</v>
      </c>
      <c r="AJ27" s="35">
        <v>1236.21</v>
      </c>
      <c r="AK27" s="36">
        <f t="shared" si="12"/>
        <v>-0.197891253568648</v>
      </c>
      <c r="AL27" s="35">
        <v>1215.65</v>
      </c>
      <c r="AM27" s="36">
        <f t="shared" si="13"/>
        <v>-0.218100775692399</v>
      </c>
      <c r="AN27" s="35">
        <v>1313.09</v>
      </c>
      <c r="AO27" s="36">
        <f t="shared" si="14"/>
        <v>-0.222328826347802</v>
      </c>
      <c r="AP27" s="35">
        <v>1536.86</v>
      </c>
      <c r="AQ27" s="36">
        <f t="shared" si="15"/>
        <v>-0.201278486604475</v>
      </c>
      <c r="AR27" s="35">
        <v>1128.62</v>
      </c>
      <c r="AS27" s="36">
        <f t="shared" si="16"/>
        <v>-0.579810720854213</v>
      </c>
      <c r="AT27" s="35">
        <f t="shared" si="17"/>
        <v>16377.61</v>
      </c>
      <c r="AU27" s="36">
        <f t="shared" si="18"/>
        <v>-0.206800522871259</v>
      </c>
      <c r="AV27" s="47"/>
      <c r="AW27" s="35">
        <v>1874.24</v>
      </c>
      <c r="AX27" s="36"/>
      <c r="AY27" s="35">
        <v>1601.23</v>
      </c>
      <c r="AZ27" s="36"/>
      <c r="BA27" s="35">
        <v>1470.69</v>
      </c>
      <c r="BB27" s="36"/>
      <c r="BC27" s="35">
        <v>1558.78</v>
      </c>
      <c r="BD27" s="36"/>
      <c r="BE27" s="35">
        <v>1661.61</v>
      </c>
      <c r="BF27" s="36"/>
      <c r="BG27" s="35">
        <v>1561.31</v>
      </c>
      <c r="BH27" s="36"/>
      <c r="BI27" s="35">
        <v>1525.11</v>
      </c>
      <c r="BJ27" s="36">
        <f>BI27/CD27-1</f>
        <v>-0.0340619042491879</v>
      </c>
      <c r="BK27" s="35">
        <v>1541.2</v>
      </c>
      <c r="BL27" s="36">
        <f>BK27/CE27-1</f>
        <v>0.00471326036363173</v>
      </c>
      <c r="BM27" s="35">
        <v>1554.74</v>
      </c>
      <c r="BN27" s="36">
        <f>BM27/CF27-1</f>
        <v>-0.0610906455703847</v>
      </c>
      <c r="BO27" s="35">
        <v>1688.49</v>
      </c>
      <c r="BP27" s="36">
        <f>BO27/CG27-1</f>
        <v>-0.108162068801597</v>
      </c>
      <c r="BQ27" s="35">
        <v>1924.15</v>
      </c>
      <c r="BR27" s="36">
        <f>BQ27/CH27-1</f>
        <v>-0.111829654452968</v>
      </c>
      <c r="BS27" s="35">
        <v>2685.98</v>
      </c>
      <c r="BT27" s="36">
        <f>BS27/CI27-1</f>
        <v>0.108242148173821</v>
      </c>
      <c r="BU27" s="35">
        <f t="shared" si="19"/>
        <v>20647.53</v>
      </c>
      <c r="BV27" s="221"/>
      <c r="BW27" s="222"/>
      <c r="BX27" s="227"/>
      <c r="BY27" s="49"/>
      <c r="BZ27" s="49"/>
      <c r="CA27" s="49"/>
      <c r="CB27" s="49"/>
      <c r="CC27" s="49"/>
      <c r="CD27" s="50">
        <v>1578.89</v>
      </c>
      <c r="CE27" s="50">
        <v>1533.97</v>
      </c>
      <c r="CF27" s="50">
        <v>1655.9</v>
      </c>
      <c r="CG27" s="50">
        <v>1893.27</v>
      </c>
      <c r="CH27" s="50">
        <v>2166.42</v>
      </c>
      <c r="CI27" s="50">
        <v>2423.64</v>
      </c>
      <c r="CJ27" s="35">
        <f>BX27+BY27+BZ27+CA27+CB27+CC27+CD27+CE27+CF27+CG27+CH27+CI27</f>
        <v>11252.09</v>
      </c>
    </row>
    <row r="28" ht="27" customHeight="1" spans="1:88">
      <c r="A28" s="29"/>
      <c r="B28" s="34" t="s">
        <v>276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25">
        <v>6177.57</v>
      </c>
      <c r="H28" s="36">
        <f t="shared" si="2"/>
        <v>-0.137462668020089</v>
      </c>
      <c r="I28" s="35">
        <v>6186.16</v>
      </c>
      <c r="J28" s="36">
        <f t="shared" si="3"/>
        <v>-0.030857902001056</v>
      </c>
      <c r="K28" s="35">
        <v>6547.17</v>
      </c>
      <c r="L28" s="36">
        <f t="shared" si="4"/>
        <v>-0.0193298003960325</v>
      </c>
      <c r="M28" s="224">
        <v>6784.79</v>
      </c>
      <c r="N28" s="36">
        <f t="shared" si="5"/>
        <v>0.107088194501101</v>
      </c>
      <c r="O28" s="35">
        <v>5784.56</v>
      </c>
      <c r="P28" s="36">
        <f t="shared" si="6"/>
        <v>-0.0268220505081602</v>
      </c>
      <c r="Q28" s="175"/>
      <c r="R28" s="127"/>
      <c r="S28" s="35">
        <f t="shared" si="7"/>
        <v>44024.18</v>
      </c>
      <c r="T28" s="36">
        <f t="shared" si="8"/>
        <v>-0.262613604006499</v>
      </c>
      <c r="U28" s="38"/>
      <c r="V28" s="35">
        <v>11418.98</v>
      </c>
      <c r="W28" s="36">
        <f t="shared" si="9"/>
        <v>-0.00483508592125459</v>
      </c>
      <c r="X28" s="35">
        <v>9849.07</v>
      </c>
      <c r="Y28" s="36">
        <f>X28/AY28-1</f>
        <v>0.00561769645856414</v>
      </c>
      <c r="Z28" s="35">
        <v>7162.09</v>
      </c>
      <c r="AA28" s="36">
        <f>Z28/BA28-1</f>
        <v>-0.203208264635663</v>
      </c>
      <c r="AB28" s="35">
        <v>6383.13</v>
      </c>
      <c r="AC28" s="36">
        <f>AB28/BC28-1</f>
        <v>-0.329771383511431</v>
      </c>
      <c r="AD28" s="35">
        <v>6676.22</v>
      </c>
      <c r="AE28" s="36">
        <f>AD28/BE28-1</f>
        <v>-0.343233690332494</v>
      </c>
      <c r="AF28" s="224">
        <v>6128.5</v>
      </c>
      <c r="AG28" s="36">
        <f t="shared" si="10"/>
        <v>-0.357351682829435</v>
      </c>
      <c r="AH28" s="35">
        <v>5943.99</v>
      </c>
      <c r="AI28" s="36">
        <f t="shared" si="11"/>
        <v>-0.362030900338627</v>
      </c>
      <c r="AJ28" s="35">
        <v>6141.02</v>
      </c>
      <c r="AK28" s="36">
        <f t="shared" si="12"/>
        <v>-0.348187380923319</v>
      </c>
      <c r="AL28" s="35">
        <v>6028.47</v>
      </c>
      <c r="AM28" s="36">
        <f t="shared" si="13"/>
        <v>-0.365582481002108</v>
      </c>
      <c r="AN28" s="35">
        <v>6525.47</v>
      </c>
      <c r="AO28" s="36">
        <f t="shared" si="14"/>
        <v>-0.36802382451213</v>
      </c>
      <c r="AP28" s="35">
        <v>7639.07</v>
      </c>
      <c r="AQ28" s="36">
        <f t="shared" si="15"/>
        <v>-0.351880792634298</v>
      </c>
      <c r="AR28" s="35">
        <v>5612.81</v>
      </c>
      <c r="AS28" s="36">
        <f t="shared" si="16"/>
        <v>-0.659814233980332</v>
      </c>
      <c r="AT28" s="35">
        <f t="shared" si="17"/>
        <v>85508.82</v>
      </c>
      <c r="AU28" s="36">
        <f t="shared" si="18"/>
        <v>-0.323156664837927</v>
      </c>
      <c r="AV28" s="47"/>
      <c r="AW28" s="35">
        <v>11474.46</v>
      </c>
      <c r="AX28" s="36"/>
      <c r="AY28" s="35">
        <v>9794.05</v>
      </c>
      <c r="AZ28" s="36"/>
      <c r="BA28" s="35">
        <v>8988.66</v>
      </c>
      <c r="BB28" s="36"/>
      <c r="BC28" s="35">
        <v>9523.81</v>
      </c>
      <c r="BD28" s="36"/>
      <c r="BE28" s="35">
        <v>10165.29</v>
      </c>
      <c r="BF28" s="36"/>
      <c r="BG28" s="35">
        <v>9536.32</v>
      </c>
      <c r="BH28" s="36"/>
      <c r="BI28" s="35">
        <v>9317.05</v>
      </c>
      <c r="BJ28" s="36"/>
      <c r="BK28" s="35">
        <v>9421.45</v>
      </c>
      <c r="BL28" s="36"/>
      <c r="BM28" s="35">
        <v>9502.37</v>
      </c>
      <c r="BN28" s="36"/>
      <c r="BO28" s="35">
        <v>10325.5</v>
      </c>
      <c r="BP28" s="37"/>
      <c r="BQ28" s="35">
        <v>11786.52</v>
      </c>
      <c r="BR28" s="36"/>
      <c r="BS28" s="35">
        <v>16499.25</v>
      </c>
      <c r="BT28" s="36"/>
      <c r="BU28" s="35">
        <f t="shared" si="19"/>
        <v>126334.73</v>
      </c>
      <c r="BV28" s="221"/>
      <c r="BW28" s="222"/>
      <c r="BX28" s="227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7"/>
    </row>
    <row r="29" s="207" customFormat="1" ht="27" customHeight="1" spans="1:88">
      <c r="A29" s="48" t="s">
        <v>98</v>
      </c>
      <c r="B29" s="34" t="s">
        <v>273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-0.0346746746746747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0.00678921115832254</v>
      </c>
      <c r="M29" s="224">
        <v>197.86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175"/>
      <c r="R29" s="127"/>
      <c r="S29" s="103">
        <f t="shared" si="7"/>
        <v>1537.47</v>
      </c>
      <c r="T29" s="104">
        <f t="shared" si="8"/>
        <v>-0.116553947285254</v>
      </c>
      <c r="U29" s="38"/>
      <c r="V29" s="35">
        <v>226.06</v>
      </c>
      <c r="W29" s="36">
        <f t="shared" si="9"/>
        <v>-0.0192199227732223</v>
      </c>
      <c r="X29" s="35">
        <v>218.52</v>
      </c>
      <c r="Y29" s="36">
        <f>X29/AY29-1</f>
        <v>-0.0866839421549778</v>
      </c>
      <c r="Z29" s="35">
        <v>249.75</v>
      </c>
      <c r="AA29" s="36">
        <f>Z29/BA29-1</f>
        <v>0.0729014520147779</v>
      </c>
      <c r="AB29" s="35">
        <v>234.83</v>
      </c>
      <c r="AC29" s="36">
        <f>AB29/BC29-1</f>
        <v>-0.0491942667422463</v>
      </c>
      <c r="AD29" s="35">
        <v>216.52</v>
      </c>
      <c r="AE29" s="36">
        <f>AD29/BE29-1</f>
        <v>-0.131104779485533</v>
      </c>
      <c r="AF29" s="224">
        <v>222.22</v>
      </c>
      <c r="AG29" s="36">
        <f t="shared" si="10"/>
        <v>-0.0941627262351215</v>
      </c>
      <c r="AH29" s="35">
        <v>189.31</v>
      </c>
      <c r="AI29" s="36">
        <f t="shared" si="11"/>
        <v>-0.197192655103685</v>
      </c>
      <c r="AJ29" s="35">
        <v>183.1</v>
      </c>
      <c r="AK29" s="36">
        <f t="shared" si="12"/>
        <v>-0.0982960701270561</v>
      </c>
      <c r="AL29" s="35">
        <v>200.71</v>
      </c>
      <c r="AM29" s="36">
        <f t="shared" si="13"/>
        <v>-0.10076164874552</v>
      </c>
      <c r="AN29" s="35">
        <v>222</v>
      </c>
      <c r="AO29" s="36">
        <f t="shared" si="14"/>
        <v>-0.122980286809149</v>
      </c>
      <c r="AP29" s="35">
        <v>210.76</v>
      </c>
      <c r="AQ29" s="36">
        <f t="shared" si="15"/>
        <v>-0.105356991255624</v>
      </c>
      <c r="AR29" s="35">
        <v>245.46</v>
      </c>
      <c r="AS29" s="36">
        <f t="shared" si="16"/>
        <v>0.0500513347022589</v>
      </c>
      <c r="AT29" s="35">
        <f t="shared" si="17"/>
        <v>2619.24</v>
      </c>
      <c r="AU29" s="36">
        <f t="shared" si="18"/>
        <v>-0.0740023192012896</v>
      </c>
      <c r="AV29" s="44"/>
      <c r="AW29" s="38">
        <v>230.49</v>
      </c>
      <c r="AX29" s="37">
        <f>AW29/BX29-1</f>
        <v>0.753175629421161</v>
      </c>
      <c r="AY29" s="38">
        <v>239.26</v>
      </c>
      <c r="AZ29" s="37">
        <f>AY29/BY29-1</f>
        <v>0.347791798107255</v>
      </c>
      <c r="BA29" s="38">
        <v>232.78</v>
      </c>
      <c r="BB29" s="37">
        <f>BA29/BZ29-1</f>
        <v>0.159378424145831</v>
      </c>
      <c r="BC29" s="38">
        <v>246.98</v>
      </c>
      <c r="BD29" s="37">
        <f>BC29/CA29-1</f>
        <v>0.185181630596478</v>
      </c>
      <c r="BE29" s="38">
        <v>249.19</v>
      </c>
      <c r="BF29" s="37">
        <f>BE29/CB29-1</f>
        <v>0.135675872755446</v>
      </c>
      <c r="BG29" s="38">
        <v>245.32</v>
      </c>
      <c r="BH29" s="37">
        <f>BG29/CC29-1</f>
        <v>0.181297250445418</v>
      </c>
      <c r="BI29" s="38">
        <v>235.81</v>
      </c>
      <c r="BJ29" s="37">
        <f>BI29/CD29-1</f>
        <v>0.175289074960128</v>
      </c>
      <c r="BK29" s="38">
        <v>203.06</v>
      </c>
      <c r="BL29" s="37">
        <f>BK29/CE29-1</f>
        <v>0.0232300327538424</v>
      </c>
      <c r="BM29" s="38">
        <v>223.2</v>
      </c>
      <c r="BN29" s="37">
        <f>BM29/CF29-1</f>
        <v>0.0505506918949448</v>
      </c>
      <c r="BO29" s="38">
        <v>253.13</v>
      </c>
      <c r="BP29" s="37">
        <f>BO29/CG29-1</f>
        <v>0.0999435101898927</v>
      </c>
      <c r="BQ29" s="38">
        <v>235.58</v>
      </c>
      <c r="BR29" s="37">
        <f>BQ29/CH29-1</f>
        <v>0.0363820333465312</v>
      </c>
      <c r="BS29" s="38">
        <v>233.76</v>
      </c>
      <c r="BT29" s="37">
        <f>BS29/CI29-1</f>
        <v>-0.0719021717552706</v>
      </c>
      <c r="BU29" s="38">
        <f t="shared" si="19"/>
        <v>2828.56</v>
      </c>
      <c r="BV29" s="219">
        <f>BU29/CJ29-1</f>
        <v>0.146972357275223</v>
      </c>
      <c r="BW29" s="204"/>
      <c r="BX29" s="226">
        <v>131.47</v>
      </c>
      <c r="BY29" s="197">
        <v>177.52</v>
      </c>
      <c r="BZ29" s="197">
        <v>200.78</v>
      </c>
      <c r="CA29" s="197">
        <v>208.39</v>
      </c>
      <c r="CB29" s="197">
        <v>219.42</v>
      </c>
      <c r="CC29" s="197">
        <v>207.67</v>
      </c>
      <c r="CD29" s="197">
        <v>200.64</v>
      </c>
      <c r="CE29" s="197">
        <v>198.45</v>
      </c>
      <c r="CF29" s="197">
        <v>212.46</v>
      </c>
      <c r="CG29" s="197">
        <v>230.13</v>
      </c>
      <c r="CH29" s="197">
        <v>227.31</v>
      </c>
      <c r="CI29" s="197">
        <v>251.87</v>
      </c>
      <c r="CJ29" s="38">
        <f>BX29+BY29+BZ29+CA29+CB29+CC29+CD29+CE29+CF29+CG29+CH29+CI29</f>
        <v>2466.11</v>
      </c>
    </row>
    <row r="30" ht="27" customHeight="1" spans="1:88">
      <c r="A30" s="45"/>
      <c r="B30" s="34" t="s">
        <v>274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0.0125580354645634</v>
      </c>
      <c r="G30" s="35">
        <v>1485.83</v>
      </c>
      <c r="H30" s="36">
        <f t="shared" si="2"/>
        <v>-0.0306242945777906</v>
      </c>
      <c r="I30" s="35">
        <v>1431.94</v>
      </c>
      <c r="J30" s="36">
        <f t="shared" si="3"/>
        <v>0.0170678523485166</v>
      </c>
      <c r="K30" s="35">
        <v>1353.48</v>
      </c>
      <c r="L30" s="36">
        <f t="shared" si="4"/>
        <v>0.0684328104895051</v>
      </c>
      <c r="M30" s="224">
        <v>1231.82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175"/>
      <c r="R30" s="127"/>
      <c r="S30" s="35">
        <f t="shared" si="7"/>
        <v>9527.55</v>
      </c>
      <c r="T30" s="36">
        <f t="shared" si="8"/>
        <v>-0.130814571403288</v>
      </c>
      <c r="U30" s="38"/>
      <c r="V30" s="35">
        <v>1576.83</v>
      </c>
      <c r="W30" s="36">
        <f t="shared" si="9"/>
        <v>-0.0196282019398161</v>
      </c>
      <c r="X30" s="35">
        <v>1430.16</v>
      </c>
      <c r="Y30" s="36">
        <f>X30/AW30-1</f>
        <v>-0.110818204426759</v>
      </c>
      <c r="Z30" s="35">
        <v>1532.77</v>
      </c>
      <c r="AA30" s="36">
        <f>Z30/AY30-1</f>
        <v>-0.119977723425999</v>
      </c>
      <c r="AB30" s="35">
        <v>1407.91</v>
      </c>
      <c r="AC30" s="36">
        <f>AB30/BA30-1</f>
        <v>-0.119368256450352</v>
      </c>
      <c r="AD30" s="35">
        <v>1266.79</v>
      </c>
      <c r="AE30" s="36">
        <f>AD30/BC30-1</f>
        <v>-0.300556555539605</v>
      </c>
      <c r="AF30" s="224">
        <v>1443.21</v>
      </c>
      <c r="AG30" s="36">
        <f t="shared" si="10"/>
        <v>-0.11803098359153</v>
      </c>
      <c r="AH30" s="35">
        <v>1178.33</v>
      </c>
      <c r="AI30" s="36">
        <f t="shared" si="11"/>
        <v>-0.217846427528343</v>
      </c>
      <c r="AJ30" s="35">
        <v>1125.47</v>
      </c>
      <c r="AK30" s="36">
        <f t="shared" si="12"/>
        <v>-0.0565498394708827</v>
      </c>
      <c r="AL30" s="35">
        <v>1229.51</v>
      </c>
      <c r="AM30" s="36">
        <f t="shared" si="13"/>
        <v>-0.017303941941878</v>
      </c>
      <c r="AN30" s="35">
        <v>1352.56</v>
      </c>
      <c r="AO30" s="36">
        <f t="shared" si="14"/>
        <v>-0.134350519686652</v>
      </c>
      <c r="AP30" s="35">
        <v>1282.85</v>
      </c>
      <c r="AQ30" s="36">
        <f t="shared" si="15"/>
        <v>-0.0690966351491579</v>
      </c>
      <c r="AR30" s="35">
        <v>1482.88</v>
      </c>
      <c r="AS30" s="36">
        <f t="shared" si="16"/>
        <v>0.179904199621254</v>
      </c>
      <c r="AT30" s="35">
        <f t="shared" si="17"/>
        <v>16309.27</v>
      </c>
      <c r="AU30" s="36">
        <f t="shared" si="18"/>
        <v>-0.108326503789099</v>
      </c>
      <c r="AV30" s="47"/>
      <c r="AW30" s="35">
        <v>1608.4</v>
      </c>
      <c r="AX30" s="36"/>
      <c r="AY30" s="35">
        <v>1741.74</v>
      </c>
      <c r="AZ30" s="36"/>
      <c r="BA30" s="35">
        <v>1598.75</v>
      </c>
      <c r="BB30" s="36"/>
      <c r="BC30" s="35">
        <v>1811.14</v>
      </c>
      <c r="BD30" s="36"/>
      <c r="BE30" s="35">
        <v>1746.31</v>
      </c>
      <c r="BF30" s="36"/>
      <c r="BG30" s="35">
        <v>1636.35</v>
      </c>
      <c r="BH30" s="36"/>
      <c r="BI30" s="35">
        <v>1506.52</v>
      </c>
      <c r="BJ30" s="36"/>
      <c r="BK30" s="35">
        <v>1192.93</v>
      </c>
      <c r="BL30" s="36"/>
      <c r="BM30" s="35">
        <v>1251.16</v>
      </c>
      <c r="BN30" s="36"/>
      <c r="BO30" s="35">
        <v>1562.48</v>
      </c>
      <c r="BP30" s="37"/>
      <c r="BQ30" s="35">
        <v>1378.07</v>
      </c>
      <c r="BR30" s="36"/>
      <c r="BS30" s="35">
        <v>1256.78</v>
      </c>
      <c r="BT30" s="36"/>
      <c r="BU30" s="35">
        <f t="shared" si="19"/>
        <v>18290.63</v>
      </c>
      <c r="BV30" s="221"/>
      <c r="BW30" s="222"/>
      <c r="BX30" s="223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7"/>
    </row>
    <row r="31" ht="27" customHeight="1" spans="1:88">
      <c r="A31" s="45"/>
      <c r="B31" s="34" t="s">
        <v>275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0.0776172395088515</v>
      </c>
      <c r="G31" s="35">
        <v>224.95</v>
      </c>
      <c r="H31" s="36">
        <f t="shared" si="2"/>
        <v>-0.0389216440229002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224">
        <v>186.48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175"/>
      <c r="R31" s="127"/>
      <c r="S31" s="35">
        <f t="shared" si="7"/>
        <v>1438.61</v>
      </c>
      <c r="T31" s="36">
        <f t="shared" si="8"/>
        <v>-0.107002526396812</v>
      </c>
      <c r="U31" s="38"/>
      <c r="V31" s="35">
        <v>210</v>
      </c>
      <c r="W31" s="36">
        <f t="shared" si="9"/>
        <v>-0.0187832912811887</v>
      </c>
      <c r="X31" s="35">
        <v>202.79</v>
      </c>
      <c r="Y31" s="36">
        <f>X31/AY31-1</f>
        <v>-0.0845935087798493</v>
      </c>
      <c r="Z31" s="35">
        <v>234.06</v>
      </c>
      <c r="AA31" s="36">
        <f>Z31/BA31-1</f>
        <v>0.0856215213358071</v>
      </c>
      <c r="AB31" s="35">
        <v>218.03</v>
      </c>
      <c r="AC31" s="36">
        <f>AB31/BC31-1</f>
        <v>-0.0427624357904904</v>
      </c>
      <c r="AD31" s="35">
        <v>199.73</v>
      </c>
      <c r="AE31" s="36">
        <f>AD31/BE31-1</f>
        <v>-0.137160877829618</v>
      </c>
      <c r="AF31" s="224">
        <v>206.2</v>
      </c>
      <c r="AG31" s="36">
        <f t="shared" si="10"/>
        <v>-0.0988549951927279</v>
      </c>
      <c r="AH31" s="35">
        <v>173.01</v>
      </c>
      <c r="AI31" s="36">
        <f t="shared" si="11"/>
        <v>-0.212301948643234</v>
      </c>
      <c r="AJ31" s="35">
        <v>167.17</v>
      </c>
      <c r="AK31" s="36">
        <f t="shared" si="12"/>
        <v>-0.107569933803118</v>
      </c>
      <c r="AL31" s="35">
        <v>185.11</v>
      </c>
      <c r="AM31" s="36">
        <f t="shared" si="13"/>
        <v>-0.108333333333333</v>
      </c>
      <c r="AN31" s="35">
        <v>206.21</v>
      </c>
      <c r="AO31" s="36">
        <f t="shared" si="14"/>
        <v>-0.128702412642075</v>
      </c>
      <c r="AP31" s="35">
        <v>195.57</v>
      </c>
      <c r="AQ31" s="36">
        <f t="shared" si="15"/>
        <v>-0.112980769230769</v>
      </c>
      <c r="AR31" s="35">
        <v>230.12</v>
      </c>
      <c r="AS31" s="36">
        <f t="shared" si="16"/>
        <v>0.05356652321216</v>
      </c>
      <c r="AT31" s="35">
        <f t="shared" si="17"/>
        <v>2428</v>
      </c>
      <c r="AU31" s="36">
        <f t="shared" si="18"/>
        <v>-0.0765778614486469</v>
      </c>
      <c r="AV31" s="47"/>
      <c r="AW31" s="35">
        <v>214.02</v>
      </c>
      <c r="AX31" s="36"/>
      <c r="AY31" s="35">
        <v>221.53</v>
      </c>
      <c r="AZ31" s="36"/>
      <c r="BA31" s="35">
        <v>215.6</v>
      </c>
      <c r="BB31" s="36"/>
      <c r="BC31" s="35">
        <v>227.77</v>
      </c>
      <c r="BD31" s="36"/>
      <c r="BE31" s="35">
        <v>231.48</v>
      </c>
      <c r="BF31" s="36"/>
      <c r="BG31" s="35">
        <v>228.82</v>
      </c>
      <c r="BH31" s="36"/>
      <c r="BI31" s="35">
        <v>219.64</v>
      </c>
      <c r="BJ31" s="36">
        <f>BI31/CD31-1</f>
        <v>0.185513035029956</v>
      </c>
      <c r="BK31" s="35">
        <v>187.32</v>
      </c>
      <c r="BL31" s="36">
        <f>BK31/CE31-1</f>
        <v>0.0533655738626777</v>
      </c>
      <c r="BM31" s="35">
        <v>207.6</v>
      </c>
      <c r="BN31" s="36">
        <f>BM31/CF31-1</f>
        <v>0.075480495259804</v>
      </c>
      <c r="BO31" s="35">
        <v>236.67</v>
      </c>
      <c r="BP31" s="36">
        <f>BO31/CG31-1</f>
        <v>0.117633169625992</v>
      </c>
      <c r="BQ31" s="35">
        <v>220.48</v>
      </c>
      <c r="BR31" s="36">
        <f>BQ31/CH31-1</f>
        <v>0.0440877018515888</v>
      </c>
      <c r="BS31" s="35">
        <v>218.42</v>
      </c>
      <c r="BT31" s="36">
        <f>BS31/CI31-1</f>
        <v>-0.0720931220527635</v>
      </c>
      <c r="BU31" s="35">
        <f t="shared" si="19"/>
        <v>2629.35</v>
      </c>
      <c r="BV31" s="221"/>
      <c r="BW31" s="222"/>
      <c r="BX31" s="227"/>
      <c r="BY31" s="49"/>
      <c r="BZ31" s="49"/>
      <c r="CA31" s="49"/>
      <c r="CB31" s="49"/>
      <c r="CC31" s="49"/>
      <c r="CD31" s="50">
        <v>185.27</v>
      </c>
      <c r="CE31" s="50">
        <v>177.83</v>
      </c>
      <c r="CF31" s="50">
        <v>193.03</v>
      </c>
      <c r="CG31" s="50">
        <v>211.76</v>
      </c>
      <c r="CH31" s="50">
        <v>211.17</v>
      </c>
      <c r="CI31" s="50">
        <v>235.39</v>
      </c>
      <c r="CJ31" s="35">
        <f>BX31+BY31+BZ31+CA31+CB31+CC31+CD31+CE31+CF31+CG31+CH31+CI31</f>
        <v>1214.45</v>
      </c>
    </row>
    <row r="32" ht="27" customHeight="1" spans="1:88">
      <c r="A32" s="29"/>
      <c r="B32" s="34" t="s">
        <v>276</v>
      </c>
      <c r="C32" s="35">
        <v>1216.28</v>
      </c>
      <c r="D32" s="36">
        <f t="shared" si="0"/>
        <v>-0.0822883184692229</v>
      </c>
      <c r="E32" s="35">
        <v>1247.03</v>
      </c>
      <c r="F32" s="36">
        <f t="shared" si="1"/>
        <v>0.0287668294614571</v>
      </c>
      <c r="G32" s="225">
        <v>1282.21</v>
      </c>
      <c r="H32" s="36">
        <f t="shared" si="2"/>
        <v>-0.0353230611814981</v>
      </c>
      <c r="I32" s="35">
        <v>1220.09</v>
      </c>
      <c r="J32" s="36">
        <f t="shared" si="3"/>
        <v>0.0328804232804232</v>
      </c>
      <c r="K32" s="35">
        <v>1211.44</v>
      </c>
      <c r="L32" s="36">
        <f t="shared" si="4"/>
        <v>0.17127691459842</v>
      </c>
      <c r="M32" s="224">
        <v>1095.5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175"/>
      <c r="R32" s="127"/>
      <c r="S32" s="35">
        <f t="shared" si="7"/>
        <v>8300.17</v>
      </c>
      <c r="T32" s="36">
        <f t="shared" si="8"/>
        <v>-0.0970813480408155</v>
      </c>
      <c r="U32" s="38"/>
      <c r="V32" s="35">
        <v>1325.34</v>
      </c>
      <c r="W32" s="36">
        <f t="shared" si="9"/>
        <v>0.0228677713377221</v>
      </c>
      <c r="X32" s="35">
        <v>1212.16</v>
      </c>
      <c r="Y32" s="36">
        <f>X32/AY32-1</f>
        <v>-0.137363184787714</v>
      </c>
      <c r="Z32" s="35">
        <v>1329.16</v>
      </c>
      <c r="AA32" s="36">
        <f>Z32/BA32-1</f>
        <v>0.03352124722989</v>
      </c>
      <c r="AB32" s="35">
        <v>1181.25</v>
      </c>
      <c r="AC32" s="36">
        <f>AB32/BC32-1</f>
        <v>-0.181046734932993</v>
      </c>
      <c r="AD32" s="35">
        <v>1034.29</v>
      </c>
      <c r="AE32" s="36">
        <f>AD32/BE32-1</f>
        <v>-0.262921972876863</v>
      </c>
      <c r="AF32" s="224">
        <v>1215.82</v>
      </c>
      <c r="AG32" s="36">
        <f t="shared" si="10"/>
        <v>-0.0755485941087913</v>
      </c>
      <c r="AH32" s="35">
        <v>968.52</v>
      </c>
      <c r="AI32" s="36">
        <f t="shared" si="11"/>
        <v>-0.191356839301667</v>
      </c>
      <c r="AJ32" s="35">
        <v>926.06</v>
      </c>
      <c r="AK32" s="36">
        <f t="shared" si="12"/>
        <v>0.0174694559198383</v>
      </c>
      <c r="AL32" s="35">
        <v>1030.3</v>
      </c>
      <c r="AM32" s="36">
        <f t="shared" si="13"/>
        <v>0.0626031353135312</v>
      </c>
      <c r="AN32" s="35">
        <v>1152.01</v>
      </c>
      <c r="AO32" s="36">
        <f t="shared" si="14"/>
        <v>-0.0714613877985283</v>
      </c>
      <c r="AP32" s="35">
        <v>1090.68</v>
      </c>
      <c r="AQ32" s="36">
        <f t="shared" si="15"/>
        <v>0.00253695124641506</v>
      </c>
      <c r="AR32" s="35">
        <v>1290.71</v>
      </c>
      <c r="AS32" s="36">
        <f t="shared" si="16"/>
        <v>0.316862897137144</v>
      </c>
      <c r="AT32" s="35">
        <f t="shared" si="17"/>
        <v>13756.3</v>
      </c>
      <c r="AU32" s="36">
        <f t="shared" si="18"/>
        <v>-0.0535051059795211</v>
      </c>
      <c r="AV32" s="47"/>
      <c r="AW32" s="35">
        <v>1295.71</v>
      </c>
      <c r="AX32" s="36"/>
      <c r="AY32" s="35">
        <v>1405.18</v>
      </c>
      <c r="AZ32" s="36"/>
      <c r="BA32" s="35">
        <v>1286.05</v>
      </c>
      <c r="BB32" s="36"/>
      <c r="BC32" s="35">
        <v>1442.39</v>
      </c>
      <c r="BD32" s="36"/>
      <c r="BE32" s="35">
        <v>1403.23</v>
      </c>
      <c r="BF32" s="36"/>
      <c r="BG32" s="35">
        <v>1315.18</v>
      </c>
      <c r="BH32" s="36"/>
      <c r="BI32" s="35">
        <v>1197.71</v>
      </c>
      <c r="BJ32" s="36"/>
      <c r="BK32" s="35">
        <v>910.16</v>
      </c>
      <c r="BL32" s="36"/>
      <c r="BM32" s="35">
        <v>969.6</v>
      </c>
      <c r="BN32" s="36"/>
      <c r="BO32" s="35">
        <v>1240.67</v>
      </c>
      <c r="BP32" s="37"/>
      <c r="BQ32" s="35">
        <v>1087.92</v>
      </c>
      <c r="BR32" s="36"/>
      <c r="BS32" s="35">
        <v>980.14</v>
      </c>
      <c r="BT32" s="36"/>
      <c r="BU32" s="35">
        <f t="shared" si="19"/>
        <v>14533.94</v>
      </c>
      <c r="BV32" s="221"/>
      <c r="BW32" s="222"/>
      <c r="BX32" s="227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7"/>
    </row>
    <row r="33" s="207" customFormat="1" ht="27" customHeight="1" spans="1:88">
      <c r="A33" s="48" t="s">
        <v>99</v>
      </c>
      <c r="B33" s="34" t="s">
        <v>273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-0.0334502811553804</v>
      </c>
      <c r="K33" s="35">
        <v>573.97</v>
      </c>
      <c r="L33" s="36">
        <f t="shared" si="4"/>
        <v>0.0106885014967424</v>
      </c>
      <c r="M33" s="224">
        <v>575.43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175"/>
      <c r="R33" s="127"/>
      <c r="S33" s="103">
        <f t="shared" si="7"/>
        <v>3953.25</v>
      </c>
      <c r="T33" s="104">
        <f t="shared" si="8"/>
        <v>-0.137978028879072</v>
      </c>
      <c r="U33" s="38"/>
      <c r="V33" s="35">
        <v>595.51</v>
      </c>
      <c r="W33" s="36">
        <f t="shared" si="9"/>
        <v>-0.131896966428082</v>
      </c>
      <c r="X33" s="35">
        <v>590.1</v>
      </c>
      <c r="Y33" s="36">
        <f>X33/AY33-1</f>
        <v>-0.0244829809393132</v>
      </c>
      <c r="Z33" s="35">
        <v>580.97</v>
      </c>
      <c r="AA33" s="36">
        <f>Z33/BA33-1</f>
        <v>-0.0972558891167877</v>
      </c>
      <c r="AB33" s="35">
        <v>624.21</v>
      </c>
      <c r="AC33" s="36">
        <f>AB33/BC33-1</f>
        <v>-0.0558723436436511</v>
      </c>
      <c r="AD33" s="35">
        <v>567.9</v>
      </c>
      <c r="AE33" s="36">
        <f>AD33/BE33-1</f>
        <v>-0.0969229545996662</v>
      </c>
      <c r="AF33" s="224">
        <v>578.66</v>
      </c>
      <c r="AG33" s="36">
        <f t="shared" si="10"/>
        <v>-0.0835722091126491</v>
      </c>
      <c r="AH33" s="35">
        <v>539.37</v>
      </c>
      <c r="AI33" s="36">
        <f t="shared" si="11"/>
        <v>-0.109935807521576</v>
      </c>
      <c r="AJ33" s="35">
        <v>509.3</v>
      </c>
      <c r="AK33" s="36">
        <f t="shared" si="12"/>
        <v>-0.094078514381259</v>
      </c>
      <c r="AL33" s="35">
        <v>549.53</v>
      </c>
      <c r="AM33" s="36">
        <f t="shared" si="13"/>
        <v>-0.0693030739266662</v>
      </c>
      <c r="AN33" s="35">
        <v>547.12</v>
      </c>
      <c r="AO33" s="36">
        <f t="shared" si="14"/>
        <v>-0.0916154740162709</v>
      </c>
      <c r="AP33" s="35">
        <v>582.56</v>
      </c>
      <c r="AQ33" s="36">
        <f t="shared" si="15"/>
        <v>-0.0809326980721295</v>
      </c>
      <c r="AR33" s="35">
        <v>584.07</v>
      </c>
      <c r="AS33" s="36">
        <f t="shared" si="16"/>
        <v>-0.0585286437344852</v>
      </c>
      <c r="AT33" s="35">
        <f t="shared" si="17"/>
        <v>6849.3</v>
      </c>
      <c r="AU33" s="36">
        <f t="shared" si="18"/>
        <v>-0.0832224610697813</v>
      </c>
      <c r="AV33" s="44"/>
      <c r="AW33" s="38">
        <v>685.99</v>
      </c>
      <c r="AX33" s="37">
        <f>AW33/BX33-1</f>
        <v>0.678427246703041</v>
      </c>
      <c r="AY33" s="38">
        <v>604.91</v>
      </c>
      <c r="AZ33" s="37">
        <f>AY33/BY33-1</f>
        <v>0.0729730209127835</v>
      </c>
      <c r="BA33" s="38">
        <v>643.56</v>
      </c>
      <c r="BB33" s="37">
        <f>BA33/BZ33-1</f>
        <v>0.0350950558111107</v>
      </c>
      <c r="BC33" s="38">
        <v>661.15</v>
      </c>
      <c r="BD33" s="37">
        <f>BC33/CA33-1</f>
        <v>-0.00598379264203996</v>
      </c>
      <c r="BE33" s="38">
        <v>628.85</v>
      </c>
      <c r="BF33" s="37">
        <f>BE33/CB33-1</f>
        <v>-0.0290580079361402</v>
      </c>
      <c r="BG33" s="38">
        <v>631.43</v>
      </c>
      <c r="BH33" s="37">
        <f>BG33/CC33-1</f>
        <v>-0.0165560851010809</v>
      </c>
      <c r="BI33" s="38">
        <v>605.99</v>
      </c>
      <c r="BJ33" s="37">
        <f>BI33/CD33-1</f>
        <v>-0.0559874129577991</v>
      </c>
      <c r="BK33" s="38">
        <v>562.19</v>
      </c>
      <c r="BL33" s="37">
        <f>BK33/CE33-1</f>
        <v>-0.0955468322661605</v>
      </c>
      <c r="BM33" s="38">
        <v>590.45</v>
      </c>
      <c r="BN33" s="37">
        <f>BM33/CF33-1</f>
        <v>-0.10112958226769</v>
      </c>
      <c r="BO33" s="38">
        <v>602.3</v>
      </c>
      <c r="BP33" s="37">
        <f>BO33/CG33-1</f>
        <v>-0.100158364956524</v>
      </c>
      <c r="BQ33" s="38">
        <v>633.86</v>
      </c>
      <c r="BR33" s="37">
        <f>BQ33/CH33-1</f>
        <v>-0.0905490910656126</v>
      </c>
      <c r="BS33" s="38">
        <v>620.38</v>
      </c>
      <c r="BT33" s="37">
        <f>BS33/CI33-1</f>
        <v>-0.0819114143222885</v>
      </c>
      <c r="BU33" s="38">
        <f t="shared" si="19"/>
        <v>7471.06</v>
      </c>
      <c r="BV33" s="219">
        <f>BU33/CJ33-1</f>
        <v>-0.00538506904736868</v>
      </c>
      <c r="BW33" s="204"/>
      <c r="BX33" s="226">
        <v>408.71</v>
      </c>
      <c r="BY33" s="197">
        <v>563.77</v>
      </c>
      <c r="BZ33" s="197">
        <v>621.74</v>
      </c>
      <c r="CA33" s="197">
        <v>665.13</v>
      </c>
      <c r="CB33" s="197">
        <v>647.67</v>
      </c>
      <c r="CC33" s="197">
        <v>642.06</v>
      </c>
      <c r="CD33" s="197">
        <v>641.93</v>
      </c>
      <c r="CE33" s="197">
        <v>621.58</v>
      </c>
      <c r="CF33" s="197">
        <v>656.88</v>
      </c>
      <c r="CG33" s="197">
        <v>669.34</v>
      </c>
      <c r="CH33" s="197">
        <v>696.97</v>
      </c>
      <c r="CI33" s="197">
        <v>675.73</v>
      </c>
      <c r="CJ33" s="38">
        <f>BX33+BY33+BZ33+CA33+CB33+CC33+CD33+CE33+CF33+CG33+CH33+CI33</f>
        <v>7511.51</v>
      </c>
    </row>
    <row r="34" ht="27" customHeight="1" spans="1:88">
      <c r="A34" s="45"/>
      <c r="B34" s="34" t="s">
        <v>274</v>
      </c>
      <c r="C34" s="35">
        <v>3026.3</v>
      </c>
      <c r="D34" s="36">
        <f t="shared" si="0"/>
        <v>-0.0057003926207021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-0.0445710219548953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224">
        <v>2960.06</v>
      </c>
      <c r="N34" s="36">
        <f t="shared" si="5"/>
        <v>-0.00211372301800539</v>
      </c>
      <c r="O34" s="35">
        <v>2780.3</v>
      </c>
      <c r="P34" s="36">
        <f t="shared" si="6"/>
        <v>0.00524624067626256</v>
      </c>
      <c r="Q34" s="175"/>
      <c r="R34" s="127"/>
      <c r="S34" s="35">
        <f t="shared" si="7"/>
        <v>20332.64</v>
      </c>
      <c r="T34" s="36">
        <f t="shared" si="8"/>
        <v>-0.134963486414564</v>
      </c>
      <c r="U34" s="38"/>
      <c r="V34" s="35">
        <v>3043.65</v>
      </c>
      <c r="W34" s="36">
        <f t="shared" si="9"/>
        <v>-0.133650613829596</v>
      </c>
      <c r="X34" s="35">
        <v>3021.27</v>
      </c>
      <c r="Y34" s="36">
        <f>X34/AW34-1</f>
        <v>-0.140020892692966</v>
      </c>
      <c r="Z34" s="35">
        <v>2979.29</v>
      </c>
      <c r="AA34" s="36">
        <f>Z34/AY34-1</f>
        <v>-0.0401926515358967</v>
      </c>
      <c r="AB34" s="35">
        <v>3202.58</v>
      </c>
      <c r="AC34" s="36">
        <f>AB34/BA34-1</f>
        <v>-0.0267311748223696</v>
      </c>
      <c r="AD34" s="35">
        <v>2912.36</v>
      </c>
      <c r="AE34" s="36">
        <f>AD34/BC34-1</f>
        <v>-0.13870922904486</v>
      </c>
      <c r="AF34" s="224">
        <v>2966.33</v>
      </c>
      <c r="AG34" s="36">
        <f t="shared" si="10"/>
        <v>-0.0809857082221871</v>
      </c>
      <c r="AH34" s="35">
        <v>2765.79</v>
      </c>
      <c r="AI34" s="36">
        <f t="shared" si="11"/>
        <v>-0.108269925199897</v>
      </c>
      <c r="AJ34" s="35">
        <v>2613.68</v>
      </c>
      <c r="AK34" s="36">
        <f t="shared" si="12"/>
        <v>-0.0924218012111785</v>
      </c>
      <c r="AL34" s="35">
        <v>2827.83</v>
      </c>
      <c r="AM34" s="36">
        <f t="shared" si="13"/>
        <v>-0.0644038524527789</v>
      </c>
      <c r="AN34" s="35">
        <v>2811.15</v>
      </c>
      <c r="AO34" s="36">
        <f t="shared" si="14"/>
        <v>-0.087623696500959</v>
      </c>
      <c r="AP34" s="35">
        <v>2997.38</v>
      </c>
      <c r="AQ34" s="36">
        <f t="shared" si="15"/>
        <v>-0.0772891686804476</v>
      </c>
      <c r="AR34" s="35">
        <v>3002.54</v>
      </c>
      <c r="AS34" s="36">
        <f t="shared" si="16"/>
        <v>-0.0539963200080658</v>
      </c>
      <c r="AT34" s="35">
        <f t="shared" si="17"/>
        <v>35143.85</v>
      </c>
      <c r="AU34" s="36">
        <f t="shared" si="18"/>
        <v>-0.0809963063445885</v>
      </c>
      <c r="AV34" s="47"/>
      <c r="AW34" s="35">
        <v>3513.19</v>
      </c>
      <c r="AX34" s="36"/>
      <c r="AY34" s="35">
        <v>3104.05</v>
      </c>
      <c r="AZ34" s="36"/>
      <c r="BA34" s="35">
        <v>3290.54</v>
      </c>
      <c r="BB34" s="36"/>
      <c r="BC34" s="35">
        <v>3381.39</v>
      </c>
      <c r="BD34" s="36"/>
      <c r="BE34" s="35">
        <v>3216.92</v>
      </c>
      <c r="BF34" s="36"/>
      <c r="BG34" s="35">
        <v>3227.73</v>
      </c>
      <c r="BH34" s="36"/>
      <c r="BI34" s="35">
        <v>3101.6</v>
      </c>
      <c r="BJ34" s="36"/>
      <c r="BK34" s="35">
        <v>2879.84</v>
      </c>
      <c r="BL34" s="36"/>
      <c r="BM34" s="35">
        <v>3022.49</v>
      </c>
      <c r="BN34" s="36"/>
      <c r="BO34" s="35">
        <v>3081.13</v>
      </c>
      <c r="BP34" s="37"/>
      <c r="BQ34" s="35">
        <v>3248.45</v>
      </c>
      <c r="BR34" s="36"/>
      <c r="BS34" s="35">
        <v>3173.92</v>
      </c>
      <c r="BT34" s="36"/>
      <c r="BU34" s="35">
        <f t="shared" si="19"/>
        <v>38241.25</v>
      </c>
      <c r="BV34" s="221"/>
      <c r="BW34" s="222"/>
      <c r="BX34" s="223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</row>
    <row r="35" ht="27" customHeight="1" spans="1:88">
      <c r="A35" s="45"/>
      <c r="B35" s="34" t="s">
        <v>275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224">
        <v>563.61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175"/>
      <c r="R35" s="127"/>
      <c r="S35" s="35">
        <f t="shared" si="7"/>
        <v>3868.73</v>
      </c>
      <c r="T35" s="36">
        <f t="shared" si="8"/>
        <v>-0.144532942976676</v>
      </c>
      <c r="U35" s="38"/>
      <c r="V35" s="35">
        <v>595.22</v>
      </c>
      <c r="W35" s="36">
        <f t="shared" si="9"/>
        <v>-0.131978066849443</v>
      </c>
      <c r="X35" s="35">
        <v>589.83</v>
      </c>
      <c r="Y35" s="36">
        <f>X35/AY35-1</f>
        <v>-0.0247681089929067</v>
      </c>
      <c r="Z35" s="35">
        <v>570.3</v>
      </c>
      <c r="AA35" s="36">
        <f>Z35/BA35-1</f>
        <v>-0.113587615406136</v>
      </c>
      <c r="AB35" s="35">
        <v>613.7</v>
      </c>
      <c r="AC35" s="36">
        <f>AB35/BC35-1</f>
        <v>-0.0714037131746583</v>
      </c>
      <c r="AD35" s="35">
        <v>557.41</v>
      </c>
      <c r="AE35" s="36">
        <f>AD35/BE35-1</f>
        <v>-0.11313880226564</v>
      </c>
      <c r="AF35" s="224">
        <v>568</v>
      </c>
      <c r="AG35" s="36">
        <f t="shared" si="10"/>
        <v>-0.100012675877804</v>
      </c>
      <c r="AH35" s="35">
        <v>529.31</v>
      </c>
      <c r="AI35" s="36">
        <f t="shared" si="11"/>
        <v>-0.126219522260924</v>
      </c>
      <c r="AJ35" s="35">
        <v>498.59</v>
      </c>
      <c r="AK35" s="36">
        <f t="shared" si="12"/>
        <v>-0.112702875854214</v>
      </c>
      <c r="AL35" s="35">
        <v>537.78</v>
      </c>
      <c r="AM35" s="36">
        <f t="shared" si="13"/>
        <v>-0.0888173500508304</v>
      </c>
      <c r="AN35" s="35">
        <v>533.38</v>
      </c>
      <c r="AO35" s="36">
        <f t="shared" si="14"/>
        <v>-0.11403086224939</v>
      </c>
      <c r="AP35" s="35">
        <v>570.55</v>
      </c>
      <c r="AQ35" s="36">
        <f t="shared" si="15"/>
        <v>-0.0994965198314368</v>
      </c>
      <c r="AR35" s="35">
        <v>570.07</v>
      </c>
      <c r="AS35" s="36">
        <f t="shared" si="16"/>
        <v>-0.0806657098163169</v>
      </c>
      <c r="AT35" s="35">
        <f t="shared" si="17"/>
        <v>6734.14</v>
      </c>
      <c r="AU35" s="36">
        <f t="shared" si="18"/>
        <v>-0.0982721035238161</v>
      </c>
      <c r="AV35" s="47"/>
      <c r="AW35" s="35">
        <v>685.72</v>
      </c>
      <c r="AX35" s="36"/>
      <c r="AY35" s="35">
        <v>604.81</v>
      </c>
      <c r="AZ35" s="36"/>
      <c r="BA35" s="35">
        <v>643.38</v>
      </c>
      <c r="BB35" s="36"/>
      <c r="BC35" s="35">
        <v>660.89</v>
      </c>
      <c r="BD35" s="36"/>
      <c r="BE35" s="35">
        <v>628.52</v>
      </c>
      <c r="BF35" s="36"/>
      <c r="BG35" s="35">
        <v>631.12</v>
      </c>
      <c r="BH35" s="36"/>
      <c r="BI35" s="35">
        <v>605.77</v>
      </c>
      <c r="BJ35" s="36">
        <f>BI35/CD35-1</f>
        <v>-0.0559477613103309</v>
      </c>
      <c r="BK35" s="35">
        <v>561.92</v>
      </c>
      <c r="BL35" s="36">
        <f>BK35/CE35-1</f>
        <v>-0.0952825631943327</v>
      </c>
      <c r="BM35" s="35">
        <v>590.2</v>
      </c>
      <c r="BN35" s="36">
        <f>BM35/CF35-1</f>
        <v>-0.100935319745301</v>
      </c>
      <c r="BO35" s="35">
        <v>602.03</v>
      </c>
      <c r="BP35" s="36">
        <f>BO35/CG35-1</f>
        <v>-0.100158435967954</v>
      </c>
      <c r="BQ35" s="35">
        <v>633.59</v>
      </c>
      <c r="BR35" s="36">
        <f>BQ35/CH35-1</f>
        <v>-0.0905058566835093</v>
      </c>
      <c r="BS35" s="35">
        <v>620.09</v>
      </c>
      <c r="BT35" s="36">
        <f>BS35/CI35-1</f>
        <v>-0.0819193983003167</v>
      </c>
      <c r="BU35" s="35">
        <f t="shared" si="19"/>
        <v>7468.04</v>
      </c>
      <c r="BV35" s="221"/>
      <c r="BW35" s="222"/>
      <c r="BX35" s="227"/>
      <c r="BY35" s="49"/>
      <c r="BZ35" s="49"/>
      <c r="CA35" s="49"/>
      <c r="CB35" s="49"/>
      <c r="CC35" s="49"/>
      <c r="CD35" s="50">
        <v>641.67</v>
      </c>
      <c r="CE35" s="50">
        <v>621.1</v>
      </c>
      <c r="CF35" s="50">
        <v>656.46</v>
      </c>
      <c r="CG35" s="50">
        <v>669.04</v>
      </c>
      <c r="CH35" s="50">
        <v>696.64</v>
      </c>
      <c r="CI35" s="50">
        <v>675.42</v>
      </c>
      <c r="CJ35" s="35">
        <f>BX35+BY35+BZ35+CA35+CB35+CC35+CD35+CE35+CF35+CG35+CH35+CI35</f>
        <v>3960.33</v>
      </c>
    </row>
    <row r="36" ht="27" customHeight="1" spans="1:88">
      <c r="A36" s="29"/>
      <c r="B36" s="34" t="s">
        <v>276</v>
      </c>
      <c r="C36" s="35">
        <v>2943.02</v>
      </c>
      <c r="D36" s="36">
        <f t="shared" si="0"/>
        <v>-0.032203752116937</v>
      </c>
      <c r="E36" s="35">
        <v>2580.28</v>
      </c>
      <c r="F36" s="36">
        <f t="shared" si="1"/>
        <v>-0.145260187028578</v>
      </c>
      <c r="G36" s="225">
        <v>2764.22</v>
      </c>
      <c r="H36" s="36">
        <f t="shared" si="2"/>
        <v>-0.0510093380939304</v>
      </c>
      <c r="I36" s="35">
        <v>3023.23</v>
      </c>
      <c r="J36" s="36">
        <f t="shared" si="3"/>
        <v>-0.0362364117440785</v>
      </c>
      <c r="K36" s="35">
        <v>2874.14</v>
      </c>
      <c r="L36" s="36">
        <f t="shared" si="4"/>
        <v>0.00960731209537746</v>
      </c>
      <c r="M36" s="224">
        <v>2881.5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175"/>
      <c r="R36" s="127"/>
      <c r="S36" s="35">
        <f t="shared" si="7"/>
        <v>19769.22</v>
      </c>
      <c r="T36" s="36">
        <f t="shared" si="8"/>
        <v>-0.144454422116098</v>
      </c>
      <c r="U36" s="38"/>
      <c r="V36" s="35">
        <v>3040.95</v>
      </c>
      <c r="W36" s="36">
        <f t="shared" si="9"/>
        <v>-0.134101198781287</v>
      </c>
      <c r="X36" s="35">
        <v>3018.79</v>
      </c>
      <c r="Y36" s="36">
        <f>X36/AY36-1</f>
        <v>-0.0270912225856873</v>
      </c>
      <c r="Z36" s="35">
        <v>2912.8</v>
      </c>
      <c r="AA36" s="36">
        <f>Z36/BA36-1</f>
        <v>-0.114281630952707</v>
      </c>
      <c r="AB36" s="35">
        <v>3136.9</v>
      </c>
      <c r="AC36" s="36">
        <f>AB36/BC36-1</f>
        <v>-0.0716731427692071</v>
      </c>
      <c r="AD36" s="35">
        <v>2846.79</v>
      </c>
      <c r="AE36" s="36">
        <f>AD36/BE36-1</f>
        <v>-0.114322159135101</v>
      </c>
      <c r="AF36" s="224">
        <v>2899.85</v>
      </c>
      <c r="AG36" s="36">
        <f t="shared" si="10"/>
        <v>-0.100832857887034</v>
      </c>
      <c r="AH36" s="35">
        <v>2702.68</v>
      </c>
      <c r="AI36" s="36">
        <f t="shared" si="11"/>
        <v>-0.127968018481652</v>
      </c>
      <c r="AJ36" s="35">
        <v>2548.39</v>
      </c>
      <c r="AK36" s="36">
        <f t="shared" si="12"/>
        <v>-0.114287402423172</v>
      </c>
      <c r="AL36" s="35">
        <v>2749.43</v>
      </c>
      <c r="AM36" s="36">
        <f t="shared" si="13"/>
        <v>-0.0895806566974398</v>
      </c>
      <c r="AN36" s="35">
        <v>2723.98</v>
      </c>
      <c r="AO36" s="36">
        <f t="shared" si="14"/>
        <v>-0.115180099851555</v>
      </c>
      <c r="AP36" s="35">
        <v>2917.89</v>
      </c>
      <c r="AQ36" s="36">
        <f t="shared" si="15"/>
        <v>-0.101070253484331</v>
      </c>
      <c r="AR36" s="35">
        <v>2915.2</v>
      </c>
      <c r="AS36" s="36">
        <f t="shared" si="16"/>
        <v>-0.0807613233606197</v>
      </c>
      <c r="AT36" s="35">
        <f t="shared" si="17"/>
        <v>34413.65</v>
      </c>
      <c r="AU36" s="36">
        <f t="shared" si="18"/>
        <v>-0.0994510400355054</v>
      </c>
      <c r="AV36" s="47"/>
      <c r="AW36" s="35">
        <v>3511.9</v>
      </c>
      <c r="AX36" s="36"/>
      <c r="AY36" s="35">
        <v>3102.85</v>
      </c>
      <c r="AZ36" s="36"/>
      <c r="BA36" s="35">
        <v>3288.63</v>
      </c>
      <c r="BB36" s="36"/>
      <c r="BC36" s="35">
        <v>3379.09</v>
      </c>
      <c r="BD36" s="36"/>
      <c r="BE36" s="35">
        <v>3214.25</v>
      </c>
      <c r="BF36" s="36"/>
      <c r="BG36" s="35">
        <v>3225.04</v>
      </c>
      <c r="BH36" s="36"/>
      <c r="BI36" s="35">
        <v>3099.29</v>
      </c>
      <c r="BJ36" s="36"/>
      <c r="BK36" s="35">
        <v>2877.22</v>
      </c>
      <c r="BL36" s="36"/>
      <c r="BM36" s="35">
        <v>3019.96</v>
      </c>
      <c r="BN36" s="36"/>
      <c r="BO36" s="35">
        <v>3078.57</v>
      </c>
      <c r="BP36" s="37"/>
      <c r="BQ36" s="35">
        <v>3245.96</v>
      </c>
      <c r="BR36" s="36"/>
      <c r="BS36" s="35">
        <v>3171.32</v>
      </c>
      <c r="BT36" s="36"/>
      <c r="BU36" s="35">
        <f t="shared" si="19"/>
        <v>38214.08</v>
      </c>
      <c r="BV36" s="221"/>
      <c r="BW36" s="222"/>
      <c r="BX36" s="227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7"/>
    </row>
    <row r="37" s="207" customFormat="1" ht="27" customHeight="1" spans="1:88">
      <c r="A37" s="48" t="s">
        <v>100</v>
      </c>
      <c r="B37" s="34" t="s">
        <v>273</v>
      </c>
      <c r="C37" s="35">
        <v>425.48</v>
      </c>
      <c r="D37" s="36">
        <f t="shared" ref="D37:D68" si="22">C37/V37-1</f>
        <v>0.172929014472778</v>
      </c>
      <c r="E37" s="35">
        <v>440.52</v>
      </c>
      <c r="F37" s="36">
        <f t="shared" ref="F37:F68" si="23">E37/X37-1</f>
        <v>0.237520015731663</v>
      </c>
      <c r="G37" s="35">
        <v>429.09</v>
      </c>
      <c r="H37" s="36">
        <f t="shared" ref="H37:H68" si="24">G37/Z37-1</f>
        <v>0.172889787885414</v>
      </c>
      <c r="I37" s="35">
        <v>428.04</v>
      </c>
      <c r="J37" s="36">
        <f t="shared" ref="J37:J68" si="25">I37/AB37-1</f>
        <v>0.173001562028994</v>
      </c>
      <c r="K37" s="35">
        <v>443.1</v>
      </c>
      <c r="L37" s="36">
        <f t="shared" ref="L37:L68" si="26">K37/AD37-1</f>
        <v>-0.079578737458715</v>
      </c>
      <c r="M37" s="224">
        <v>458.55</v>
      </c>
      <c r="N37" s="36">
        <f t="shared" ref="N37:N68" si="27">M37/AF37-1</f>
        <v>0.0454141303604405</v>
      </c>
      <c r="O37" s="35">
        <v>459.96</v>
      </c>
      <c r="P37" s="36">
        <f t="shared" ref="P37:P68" si="28">O37/AH37-1</f>
        <v>0.107323414704608</v>
      </c>
      <c r="Q37" s="175"/>
      <c r="R37" s="127"/>
      <c r="S37" s="103">
        <f t="shared" ref="S37:S68" si="29">C37+E37+G37+I37+K37+M37+O37+Q37</f>
        <v>3084.74</v>
      </c>
      <c r="T37" s="104">
        <f t="shared" ref="T37:T68" si="30">S37/SUM(V37+X37+Z37+AB37+AD37+AF37+AH37+AJ37)-1</f>
        <v>-0.0361362208980781</v>
      </c>
      <c r="U37" s="38"/>
      <c r="V37" s="35">
        <v>362.75</v>
      </c>
      <c r="W37" s="36">
        <f t="shared" ref="W37:W68" si="31">V37/AW37-1</f>
        <v>0.0313308503681802</v>
      </c>
      <c r="X37" s="35">
        <v>355.97</v>
      </c>
      <c r="Y37" s="36">
        <f>X37/AY37-1</f>
        <v>0.106803059511225</v>
      </c>
      <c r="Z37" s="35">
        <v>365.84</v>
      </c>
      <c r="AA37" s="36">
        <f>Z37/BA37-1</f>
        <v>0.0376379158748616</v>
      </c>
      <c r="AB37" s="35">
        <v>364.91</v>
      </c>
      <c r="AC37" s="36">
        <f>AB37/BC37-1</f>
        <v>0.0543484542039874</v>
      </c>
      <c r="AD37" s="35">
        <v>481.41</v>
      </c>
      <c r="AE37" s="36">
        <f>AD37/BE37-1</f>
        <v>0.357843966830259</v>
      </c>
      <c r="AF37" s="224">
        <v>438.63</v>
      </c>
      <c r="AG37" s="36">
        <f t="shared" ref="AG37:AG68" si="32">AF37/BG37-1</f>
        <v>0.275346727531765</v>
      </c>
      <c r="AH37" s="35">
        <v>415.38</v>
      </c>
      <c r="AI37" s="36">
        <f t="shared" ref="AI37:AI68" si="33">AH37/BI37-1</f>
        <v>0.21919577340769</v>
      </c>
      <c r="AJ37" s="35">
        <v>415.5</v>
      </c>
      <c r="AK37" s="36">
        <f t="shared" ref="AK37:AK68" si="34">AJ37/BK37-1</f>
        <v>0.301569401372051</v>
      </c>
      <c r="AL37" s="35">
        <v>418.13</v>
      </c>
      <c r="AM37" s="36">
        <f t="shared" ref="AM37:AM68" si="35">AL37/BM37-1</f>
        <v>0.245917759237187</v>
      </c>
      <c r="AN37" s="35">
        <v>426.55</v>
      </c>
      <c r="AO37" s="36">
        <f t="shared" ref="AO37:AO68" si="36">AN37/BO37-1</f>
        <v>0.190117463240423</v>
      </c>
      <c r="AP37" s="35">
        <v>429.32</v>
      </c>
      <c r="AQ37" s="36">
        <f t="shared" ref="AQ37:AQ68" si="37">AP37/BQ37-1</f>
        <v>0.27341757133535</v>
      </c>
      <c r="AR37" s="35">
        <v>415.69</v>
      </c>
      <c r="AS37" s="36">
        <f t="shared" ref="AS37:AS68" si="38">AR37/BS37-1</f>
        <v>0.265649738156132</v>
      </c>
      <c r="AT37" s="35">
        <f t="shared" ref="AT37:AT68" si="39">V37+X37+Z37+AB37+AD37+AF37+AH37+AJ37+AL37+AN37+AP37+AR37</f>
        <v>4890.08</v>
      </c>
      <c r="AU37" s="36">
        <f t="shared" ref="AU37:AU68" si="40">AT37/(AW37+AY37+BA37+BC37+BE37+BG37+BI37+BK37+BM37+BO37+BQ37+BS37)-1</f>
        <v>0.195615658641421</v>
      </c>
      <c r="AV37" s="44"/>
      <c r="AW37" s="38">
        <v>351.73</v>
      </c>
      <c r="AX37" s="37">
        <f>AW37/BX37-1</f>
        <v>0.282796600897188</v>
      </c>
      <c r="AY37" s="38">
        <v>321.62</v>
      </c>
      <c r="AZ37" s="37">
        <f>AY37/BY37-1</f>
        <v>0.138195845277276</v>
      </c>
      <c r="BA37" s="38">
        <v>352.57</v>
      </c>
      <c r="BB37" s="37">
        <f>BA37/BZ37-1</f>
        <v>0.187304259976427</v>
      </c>
      <c r="BC37" s="38">
        <v>346.1</v>
      </c>
      <c r="BD37" s="37">
        <f>BC37/CA37-1</f>
        <v>0.19757785467128</v>
      </c>
      <c r="BE37" s="38">
        <v>354.54</v>
      </c>
      <c r="BF37" s="37">
        <f>BE37/CB37-1</f>
        <v>0.21197825864014</v>
      </c>
      <c r="BG37" s="38">
        <v>343.93</v>
      </c>
      <c r="BH37" s="37">
        <f>BG37/CC37-1</f>
        <v>0.202468358856024</v>
      </c>
      <c r="BI37" s="38">
        <v>340.7</v>
      </c>
      <c r="BJ37" s="37">
        <f>BI37/CD37-1</f>
        <v>0.232009835828451</v>
      </c>
      <c r="BK37" s="38">
        <v>319.23</v>
      </c>
      <c r="BL37" s="37">
        <f>BK37/CE37-1</f>
        <v>0.198175881094471</v>
      </c>
      <c r="BM37" s="38">
        <v>335.6</v>
      </c>
      <c r="BN37" s="37">
        <f>BM37/CF37-1</f>
        <v>0.203643927982211</v>
      </c>
      <c r="BO37" s="38">
        <v>358.41</v>
      </c>
      <c r="BP37" s="37">
        <f>BO37/CG37-1</f>
        <v>0.149818741779218</v>
      </c>
      <c r="BQ37" s="38">
        <v>337.14</v>
      </c>
      <c r="BR37" s="37">
        <f>BQ37/CH37-1</f>
        <v>0.105775853586539</v>
      </c>
      <c r="BS37" s="38">
        <v>328.44</v>
      </c>
      <c r="BT37" s="37">
        <f>BS37/CI37-1</f>
        <v>0.0350108719629407</v>
      </c>
      <c r="BU37" s="38">
        <f t="shared" ref="BU37:BU68" si="41">AW37+AY37+BA37+BC37+BE37+BG37+BI37+BK37+BM37+BO37+BQ37+BS37</f>
        <v>4090.01</v>
      </c>
      <c r="BV37" s="219">
        <f>BU37/CJ37-1</f>
        <v>0.176311051544731</v>
      </c>
      <c r="BW37" s="204"/>
      <c r="BX37" s="226">
        <v>274.19</v>
      </c>
      <c r="BY37" s="197">
        <v>282.57</v>
      </c>
      <c r="BZ37" s="197">
        <v>296.95</v>
      </c>
      <c r="CA37" s="197">
        <v>289</v>
      </c>
      <c r="CB37" s="197">
        <v>292.53</v>
      </c>
      <c r="CC37" s="197">
        <v>286.02</v>
      </c>
      <c r="CD37" s="197">
        <v>276.54</v>
      </c>
      <c r="CE37" s="197">
        <v>266.43</v>
      </c>
      <c r="CF37" s="197">
        <v>278.82</v>
      </c>
      <c r="CG37" s="197">
        <v>311.71</v>
      </c>
      <c r="CH37" s="197">
        <v>304.89</v>
      </c>
      <c r="CI37" s="197">
        <v>317.33</v>
      </c>
      <c r="CJ37" s="38">
        <f>BX37+BY37+BZ37+CA37+CB37+CC37+CD37+CE37+CF37+CG37+CH37+CI37</f>
        <v>3476.98</v>
      </c>
    </row>
    <row r="38" ht="27" customHeight="1" spans="1:88">
      <c r="A38" s="45"/>
      <c r="B38" s="34" t="s">
        <v>274</v>
      </c>
      <c r="C38" s="35">
        <v>4557.34</v>
      </c>
      <c r="D38" s="36">
        <f t="shared" si="22"/>
        <v>0.131257819171118</v>
      </c>
      <c r="E38" s="35">
        <v>4705.22</v>
      </c>
      <c r="F38" s="36">
        <f t="shared" si="23"/>
        <v>0.191650479043888</v>
      </c>
      <c r="G38" s="35">
        <v>4619.56</v>
      </c>
      <c r="H38" s="36">
        <f t="shared" si="24"/>
        <v>0.138004852993706</v>
      </c>
      <c r="I38" s="35">
        <v>4614.04</v>
      </c>
      <c r="J38" s="36">
        <f t="shared" si="25"/>
        <v>0.139665908377979</v>
      </c>
      <c r="K38" s="35">
        <v>4776.63</v>
      </c>
      <c r="L38" s="36">
        <f t="shared" si="26"/>
        <v>-0.108885899830046</v>
      </c>
      <c r="M38" s="224">
        <v>4957.09</v>
      </c>
      <c r="N38" s="36">
        <f t="shared" si="27"/>
        <v>0.0163323717613579</v>
      </c>
      <c r="O38" s="35">
        <v>4978.83</v>
      </c>
      <c r="P38" s="36">
        <f t="shared" si="28"/>
        <v>0.0790117570569431</v>
      </c>
      <c r="Q38" s="175"/>
      <c r="R38" s="127"/>
      <c r="S38" s="35">
        <f t="shared" si="29"/>
        <v>33208.71</v>
      </c>
      <c r="T38" s="36">
        <f t="shared" si="30"/>
        <v>-0.0621575619554985</v>
      </c>
      <c r="U38" s="38"/>
      <c r="V38" s="35">
        <v>4028.56</v>
      </c>
      <c r="W38" s="36">
        <f t="shared" si="31"/>
        <v>0.0315860094591585</v>
      </c>
      <c r="X38" s="35">
        <v>3948.49</v>
      </c>
      <c r="Y38" s="36">
        <f>X38/AW38-1</f>
        <v>0.0110826306395815</v>
      </c>
      <c r="Z38" s="35">
        <v>4059.35</v>
      </c>
      <c r="AA38" s="36">
        <f>Z38/AY38-1</f>
        <v>0.138689960251674</v>
      </c>
      <c r="AB38" s="35">
        <v>4048.59</v>
      </c>
      <c r="AC38" s="36">
        <f>AB38/BA38-1</f>
        <v>0.0343286785106611</v>
      </c>
      <c r="AD38" s="35">
        <v>5360.29</v>
      </c>
      <c r="AE38" s="36">
        <f>AD38/BC38-1</f>
        <v>0.395403747081135</v>
      </c>
      <c r="AF38" s="224">
        <v>4877.43</v>
      </c>
      <c r="AG38" s="36">
        <f t="shared" si="32"/>
        <v>0.277854483624102</v>
      </c>
      <c r="AH38" s="35">
        <v>4614.25</v>
      </c>
      <c r="AI38" s="36">
        <f t="shared" si="33"/>
        <v>0.220581583284176</v>
      </c>
      <c r="AJ38" s="35">
        <v>4472.73</v>
      </c>
      <c r="AK38" s="36">
        <f t="shared" si="34"/>
        <v>0.264015079793472</v>
      </c>
      <c r="AL38" s="35">
        <v>4498.41</v>
      </c>
      <c r="AM38" s="36">
        <f t="shared" si="35"/>
        <v>0.208291811601015</v>
      </c>
      <c r="AN38" s="35">
        <v>4582.89</v>
      </c>
      <c r="AO38" s="36">
        <f t="shared" si="36"/>
        <v>0.14714495975009</v>
      </c>
      <c r="AP38" s="35">
        <v>4628.66</v>
      </c>
      <c r="AQ38" s="36">
        <f t="shared" si="37"/>
        <v>0.23750705155455</v>
      </c>
      <c r="AR38" s="35">
        <v>4486.08</v>
      </c>
      <c r="AS38" s="36">
        <f t="shared" si="38"/>
        <v>0.231735711461582</v>
      </c>
      <c r="AT38" s="35">
        <f t="shared" si="39"/>
        <v>53605.73</v>
      </c>
      <c r="AU38" s="36">
        <f t="shared" si="40"/>
        <v>0.180776502239822</v>
      </c>
      <c r="AV38" s="47"/>
      <c r="AW38" s="35">
        <v>3905.21</v>
      </c>
      <c r="AX38" s="36"/>
      <c r="AY38" s="35">
        <v>3564.93</v>
      </c>
      <c r="AZ38" s="36"/>
      <c r="BA38" s="35">
        <v>3914.22</v>
      </c>
      <c r="BB38" s="36"/>
      <c r="BC38" s="35">
        <v>3841.39</v>
      </c>
      <c r="BD38" s="36"/>
      <c r="BE38" s="35">
        <v>3936.81</v>
      </c>
      <c r="BF38" s="36"/>
      <c r="BG38" s="35">
        <v>3816.89</v>
      </c>
      <c r="BH38" s="36"/>
      <c r="BI38" s="35">
        <v>3780.37</v>
      </c>
      <c r="BJ38" s="36"/>
      <c r="BK38" s="35">
        <v>3538.51</v>
      </c>
      <c r="BL38" s="36"/>
      <c r="BM38" s="35">
        <v>3722.95</v>
      </c>
      <c r="BN38" s="36"/>
      <c r="BO38" s="35">
        <v>3995.04</v>
      </c>
      <c r="BP38" s="37"/>
      <c r="BQ38" s="35">
        <v>3740.31</v>
      </c>
      <c r="BR38" s="36"/>
      <c r="BS38" s="35">
        <v>3642.08</v>
      </c>
      <c r="BT38" s="36"/>
      <c r="BU38" s="35">
        <f t="shared" si="41"/>
        <v>45398.71</v>
      </c>
      <c r="BV38" s="221"/>
      <c r="BW38" s="222"/>
      <c r="BX38" s="223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7"/>
    </row>
    <row r="39" ht="27" customHeight="1" spans="1:88">
      <c r="A39" s="45"/>
      <c r="B39" s="34" t="s">
        <v>275</v>
      </c>
      <c r="C39" s="35">
        <v>269.91</v>
      </c>
      <c r="D39" s="36">
        <f t="shared" si="22"/>
        <v>0.112572135201979</v>
      </c>
      <c r="E39" s="35">
        <v>279.52</v>
      </c>
      <c r="F39" s="36">
        <f t="shared" si="23"/>
        <v>0.204671809679783</v>
      </c>
      <c r="G39" s="35">
        <v>269.32</v>
      </c>
      <c r="H39" s="36">
        <f t="shared" si="24"/>
        <v>0.126814777624367</v>
      </c>
      <c r="I39" s="35">
        <v>267.92</v>
      </c>
      <c r="J39" s="36">
        <f t="shared" si="25"/>
        <v>0.115310964948797</v>
      </c>
      <c r="K39" s="35">
        <v>276.16</v>
      </c>
      <c r="L39" s="36">
        <f t="shared" si="26"/>
        <v>-0.123162406731227</v>
      </c>
      <c r="M39" s="224">
        <v>286.04</v>
      </c>
      <c r="N39" s="36">
        <f t="shared" si="27"/>
        <v>0.0160556976413755</v>
      </c>
      <c r="O39" s="35">
        <v>286.19</v>
      </c>
      <c r="P39" s="36">
        <f t="shared" si="28"/>
        <v>0.0694293935204215</v>
      </c>
      <c r="Q39" s="175"/>
      <c r="R39" s="127"/>
      <c r="S39" s="35">
        <f t="shared" si="29"/>
        <v>1935.06</v>
      </c>
      <c r="T39" s="36">
        <f t="shared" si="30"/>
        <v>-0.0727008726404922</v>
      </c>
      <c r="U39" s="38"/>
      <c r="V39" s="35">
        <v>242.6</v>
      </c>
      <c r="W39" s="36">
        <f t="shared" si="31"/>
        <v>-0.0176149018019842</v>
      </c>
      <c r="X39" s="35">
        <v>232.03</v>
      </c>
      <c r="Y39" s="36">
        <f>X39/AY39-1</f>
        <v>0.0378404973833699</v>
      </c>
      <c r="Z39" s="35">
        <v>239.01</v>
      </c>
      <c r="AA39" s="36">
        <f>Z39/BA39-1</f>
        <v>-0.0291250304655131</v>
      </c>
      <c r="AB39" s="35">
        <v>240.22</v>
      </c>
      <c r="AC39" s="36">
        <f>AB39/BC39-1</f>
        <v>-8.32500832501637e-5</v>
      </c>
      <c r="AD39" s="35">
        <v>314.95</v>
      </c>
      <c r="AE39" s="36">
        <f>AD39/BE39-1</f>
        <v>0.283310243663923</v>
      </c>
      <c r="AF39" s="224">
        <v>281.52</v>
      </c>
      <c r="AG39" s="36">
        <f t="shared" si="32"/>
        <v>0.183752417794971</v>
      </c>
      <c r="AH39" s="35">
        <v>267.61</v>
      </c>
      <c r="AI39" s="36">
        <f t="shared" si="33"/>
        <v>0.136251698369565</v>
      </c>
      <c r="AJ39" s="35">
        <v>268.83</v>
      </c>
      <c r="AK39" s="36">
        <f t="shared" si="34"/>
        <v>0.212693973294839</v>
      </c>
      <c r="AL39" s="35">
        <v>264.4</v>
      </c>
      <c r="AM39" s="36">
        <f t="shared" si="35"/>
        <v>0.136813139564881</v>
      </c>
      <c r="AN39" s="35">
        <v>269.78</v>
      </c>
      <c r="AO39" s="36">
        <f t="shared" si="36"/>
        <v>0.123240902656341</v>
      </c>
      <c r="AP39" s="35">
        <v>270.55</v>
      </c>
      <c r="AQ39" s="36">
        <f t="shared" si="37"/>
        <v>0.199459123958149</v>
      </c>
      <c r="AR39" s="35">
        <v>260.53</v>
      </c>
      <c r="AS39" s="36">
        <f t="shared" si="38"/>
        <v>0.191975110948438</v>
      </c>
      <c r="AT39" s="35">
        <f t="shared" si="39"/>
        <v>3152.03</v>
      </c>
      <c r="AU39" s="36">
        <f t="shared" si="40"/>
        <v>0.120016913800026</v>
      </c>
      <c r="AV39" s="47"/>
      <c r="AW39" s="35">
        <v>246.95</v>
      </c>
      <c r="AX39" s="36"/>
      <c r="AY39" s="35">
        <v>223.57</v>
      </c>
      <c r="AZ39" s="36"/>
      <c r="BA39" s="35">
        <v>246.18</v>
      </c>
      <c r="BB39" s="36"/>
      <c r="BC39" s="35">
        <v>240.24</v>
      </c>
      <c r="BD39" s="36"/>
      <c r="BE39" s="35">
        <v>245.42</v>
      </c>
      <c r="BF39" s="36"/>
      <c r="BG39" s="35">
        <v>237.82</v>
      </c>
      <c r="BH39" s="36"/>
      <c r="BI39" s="35">
        <v>235.52</v>
      </c>
      <c r="BJ39" s="36">
        <f>BI39/CD39-1</f>
        <v>0.192264857750329</v>
      </c>
      <c r="BK39" s="35">
        <v>221.68</v>
      </c>
      <c r="BL39" s="36">
        <f>BK39/CE39-1</f>
        <v>0.165387446115025</v>
      </c>
      <c r="BM39" s="35">
        <v>232.58</v>
      </c>
      <c r="BN39" s="36">
        <f>BM39/CF39-1</f>
        <v>0.170743984697473</v>
      </c>
      <c r="BO39" s="35">
        <v>240.18</v>
      </c>
      <c r="BP39" s="36">
        <f>BO39/CG39-1</f>
        <v>0.0815508623407035</v>
      </c>
      <c r="BQ39" s="35">
        <v>225.56</v>
      </c>
      <c r="BR39" s="36">
        <f>BQ39/CH39-1</f>
        <v>0.0415589213151091</v>
      </c>
      <c r="BS39" s="35">
        <v>218.57</v>
      </c>
      <c r="BT39" s="36">
        <f>BS39/CI39-1</f>
        <v>-0.0268477292965271</v>
      </c>
      <c r="BU39" s="35">
        <f t="shared" si="41"/>
        <v>2814.27</v>
      </c>
      <c r="BV39" s="221"/>
      <c r="BW39" s="222"/>
      <c r="BX39" s="227"/>
      <c r="BY39" s="49"/>
      <c r="BZ39" s="49"/>
      <c r="CA39" s="49"/>
      <c r="CB39" s="49"/>
      <c r="CC39" s="49"/>
      <c r="CD39" s="50">
        <v>197.54</v>
      </c>
      <c r="CE39" s="50">
        <v>190.22</v>
      </c>
      <c r="CF39" s="50">
        <v>198.66</v>
      </c>
      <c r="CG39" s="50">
        <v>222.07</v>
      </c>
      <c r="CH39" s="50">
        <v>216.56</v>
      </c>
      <c r="CI39" s="50">
        <v>224.6</v>
      </c>
      <c r="CJ39" s="35">
        <f>BX39+BY39+BZ39+CA39+CB39+CC39+CD39+CE39+CF39+CG39+CH39+CI39</f>
        <v>1249.65</v>
      </c>
    </row>
    <row r="40" ht="27" customHeight="1" spans="1:88">
      <c r="A40" s="29"/>
      <c r="B40" s="34" t="s">
        <v>276</v>
      </c>
      <c r="C40" s="35">
        <v>1672.01</v>
      </c>
      <c r="D40" s="36">
        <f t="shared" si="22"/>
        <v>0.11198233608002</v>
      </c>
      <c r="E40" s="35">
        <v>1732.32</v>
      </c>
      <c r="F40" s="36">
        <f t="shared" si="23"/>
        <v>0.206645073660014</v>
      </c>
      <c r="G40" s="225">
        <v>1667.98</v>
      </c>
      <c r="H40" s="36">
        <f t="shared" si="24"/>
        <v>0.127447733248616</v>
      </c>
      <c r="I40" s="35">
        <v>1659.09</v>
      </c>
      <c r="J40" s="36">
        <f t="shared" si="25"/>
        <v>0.115759670737612</v>
      </c>
      <c r="K40" s="35">
        <v>1710.92</v>
      </c>
      <c r="L40" s="36">
        <f t="shared" si="26"/>
        <v>-0.125654129190515</v>
      </c>
      <c r="M40" s="224">
        <v>1772.35</v>
      </c>
      <c r="N40" s="36">
        <f t="shared" si="27"/>
        <v>0.0150509429747947</v>
      </c>
      <c r="O40" s="35">
        <v>1773.21</v>
      </c>
      <c r="P40" s="36">
        <f t="shared" si="28"/>
        <v>0.0694292830907852</v>
      </c>
      <c r="Q40" s="175"/>
      <c r="R40" s="127"/>
      <c r="S40" s="35">
        <f t="shared" si="29"/>
        <v>11987.88</v>
      </c>
      <c r="T40" s="36">
        <f t="shared" si="30"/>
        <v>-0.0730236989106295</v>
      </c>
      <c r="U40" s="38"/>
      <c r="V40" s="35">
        <v>1503.63</v>
      </c>
      <c r="W40" s="36">
        <f t="shared" si="31"/>
        <v>-0.0181337338383178</v>
      </c>
      <c r="X40" s="35">
        <v>1435.65</v>
      </c>
      <c r="Y40" s="36">
        <f>X40/AY40-1</f>
        <v>0.0374018166183729</v>
      </c>
      <c r="Z40" s="35">
        <v>1479.43</v>
      </c>
      <c r="AA40" s="36">
        <f>Z40/BA40-1</f>
        <v>-0.0307527008523489</v>
      </c>
      <c r="AB40" s="35">
        <v>1486.96</v>
      </c>
      <c r="AC40" s="36">
        <f>AB40/BC40-1</f>
        <v>-0.00138346026245451</v>
      </c>
      <c r="AD40" s="35">
        <v>1956.8</v>
      </c>
      <c r="AE40" s="36">
        <f>AD40/BE40-1</f>
        <v>0.285896408059195</v>
      </c>
      <c r="AF40" s="224">
        <v>1746.07</v>
      </c>
      <c r="AG40" s="36">
        <f t="shared" si="32"/>
        <v>0.184764244081505</v>
      </c>
      <c r="AH40" s="35">
        <v>1658.09</v>
      </c>
      <c r="AI40" s="36">
        <f t="shared" si="33"/>
        <v>0.13626956497903</v>
      </c>
      <c r="AJ40" s="35">
        <v>1665.61</v>
      </c>
      <c r="AK40" s="36">
        <f t="shared" si="34"/>
        <v>0.213833361269212</v>
      </c>
      <c r="AL40" s="35">
        <v>1637.68</v>
      </c>
      <c r="AM40" s="36">
        <f t="shared" si="35"/>
        <v>0.136677864460424</v>
      </c>
      <c r="AN40" s="35">
        <v>1671.48</v>
      </c>
      <c r="AO40" s="36">
        <f t="shared" si="36"/>
        <v>0.122853688029021</v>
      </c>
      <c r="AP40" s="35">
        <v>1676.28</v>
      </c>
      <c r="AQ40" s="36">
        <f t="shared" si="37"/>
        <v>0.200317930871517</v>
      </c>
      <c r="AR40" s="35">
        <v>1613.04</v>
      </c>
      <c r="AS40" s="36">
        <f t="shared" si="38"/>
        <v>0.192671132602813</v>
      </c>
      <c r="AT40" s="35">
        <f t="shared" si="39"/>
        <v>19530.72</v>
      </c>
      <c r="AU40" s="36">
        <f t="shared" si="40"/>
        <v>0.120139573536775</v>
      </c>
      <c r="AV40" s="47"/>
      <c r="AW40" s="35">
        <v>1531.4</v>
      </c>
      <c r="AX40" s="36"/>
      <c r="AY40" s="35">
        <v>1383.89</v>
      </c>
      <c r="AZ40" s="36"/>
      <c r="BA40" s="35">
        <v>1526.37</v>
      </c>
      <c r="BB40" s="36"/>
      <c r="BC40" s="35">
        <v>1489.02</v>
      </c>
      <c r="BD40" s="36"/>
      <c r="BE40" s="35">
        <v>1521.74</v>
      </c>
      <c r="BF40" s="36"/>
      <c r="BG40" s="35">
        <v>1473.77</v>
      </c>
      <c r="BH40" s="36"/>
      <c r="BI40" s="35">
        <v>1459.24</v>
      </c>
      <c r="BJ40" s="36"/>
      <c r="BK40" s="35">
        <v>1372.19</v>
      </c>
      <c r="BL40" s="36"/>
      <c r="BM40" s="35">
        <v>1440.76</v>
      </c>
      <c r="BN40" s="36"/>
      <c r="BO40" s="35">
        <v>1488.6</v>
      </c>
      <c r="BP40" s="37"/>
      <c r="BQ40" s="35">
        <v>1396.53</v>
      </c>
      <c r="BR40" s="36"/>
      <c r="BS40" s="35">
        <v>1352.46</v>
      </c>
      <c r="BT40" s="36"/>
      <c r="BU40" s="35">
        <f t="shared" si="41"/>
        <v>17435.97</v>
      </c>
      <c r="BV40" s="221"/>
      <c r="BW40" s="222"/>
      <c r="BX40" s="227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7"/>
    </row>
    <row r="41" s="205" customFormat="1" ht="27" customHeight="1" spans="1:88">
      <c r="A41" s="48" t="s">
        <v>101</v>
      </c>
      <c r="B41" s="34" t="s">
        <v>273</v>
      </c>
      <c r="C41" s="35">
        <v>785.28</v>
      </c>
      <c r="D41" s="36">
        <f t="shared" si="22"/>
        <v>0.00557028158733819</v>
      </c>
      <c r="E41" s="35">
        <v>661.78</v>
      </c>
      <c r="F41" s="36">
        <f t="shared" si="23"/>
        <v>-0.0184218332838921</v>
      </c>
      <c r="G41" s="35">
        <v>809.16</v>
      </c>
      <c r="H41" s="36">
        <f t="shared" si="24"/>
        <v>0.013972255986767</v>
      </c>
      <c r="I41" s="35">
        <v>826.02</v>
      </c>
      <c r="J41" s="36">
        <f t="shared" si="25"/>
        <v>-0.0111097809170357</v>
      </c>
      <c r="K41" s="35">
        <v>801.51</v>
      </c>
      <c r="L41" s="36">
        <f t="shared" si="26"/>
        <v>-0.00517575215966637</v>
      </c>
      <c r="M41" s="224">
        <v>772.29</v>
      </c>
      <c r="N41" s="36">
        <f t="shared" si="27"/>
        <v>0.00628037578016061</v>
      </c>
      <c r="O41" s="35">
        <v>711.12</v>
      </c>
      <c r="P41" s="36">
        <f t="shared" si="28"/>
        <v>0.0351995807494103</v>
      </c>
      <c r="Q41" s="175"/>
      <c r="R41" s="127"/>
      <c r="S41" s="103">
        <f t="shared" si="29"/>
        <v>5367.16</v>
      </c>
      <c r="T41" s="104">
        <f t="shared" si="30"/>
        <v>-0.102405054611681</v>
      </c>
      <c r="U41" s="38"/>
      <c r="V41" s="35">
        <v>780.93</v>
      </c>
      <c r="W41" s="36">
        <f t="shared" si="31"/>
        <v>-0.0751767506306179</v>
      </c>
      <c r="X41" s="35">
        <v>674.2</v>
      </c>
      <c r="Y41" s="36">
        <f>X41/AY41-1</f>
        <v>-0.0497265602976827</v>
      </c>
      <c r="Z41" s="35">
        <v>798.01</v>
      </c>
      <c r="AA41" s="36">
        <f>Z41/BA41-1</f>
        <v>-0.0679413207503095</v>
      </c>
      <c r="AB41" s="35">
        <v>835.3</v>
      </c>
      <c r="AC41" s="36">
        <f>AB41/BC41-1</f>
        <v>0.0411577005534227</v>
      </c>
      <c r="AD41" s="35">
        <v>805.68</v>
      </c>
      <c r="AE41" s="36">
        <f>AD41/BE41-1</f>
        <v>-0.00322903908250749</v>
      </c>
      <c r="AF41" s="224">
        <v>767.47</v>
      </c>
      <c r="AG41" s="36">
        <f t="shared" si="32"/>
        <v>0.0119593881856541</v>
      </c>
      <c r="AH41" s="35">
        <v>686.94</v>
      </c>
      <c r="AI41" s="36">
        <f t="shared" si="33"/>
        <v>-0.0886005413150772</v>
      </c>
      <c r="AJ41" s="35">
        <v>630.96</v>
      </c>
      <c r="AK41" s="36">
        <f t="shared" si="34"/>
        <v>-0.145954872155822</v>
      </c>
      <c r="AL41" s="35">
        <v>758.37</v>
      </c>
      <c r="AM41" s="36">
        <f t="shared" si="35"/>
        <v>0.0383509502163317</v>
      </c>
      <c r="AN41" s="35">
        <v>841.02</v>
      </c>
      <c r="AO41" s="36">
        <f t="shared" si="36"/>
        <v>0.0770432599953896</v>
      </c>
      <c r="AP41" s="35">
        <v>823.45</v>
      </c>
      <c r="AQ41" s="36">
        <f t="shared" si="37"/>
        <v>0.063971367289454</v>
      </c>
      <c r="AR41" s="35">
        <v>874.61</v>
      </c>
      <c r="AS41" s="36">
        <f t="shared" si="38"/>
        <v>0.0106891929370436</v>
      </c>
      <c r="AT41" s="35">
        <f t="shared" si="39"/>
        <v>9276.94</v>
      </c>
      <c r="AU41" s="36">
        <f t="shared" si="40"/>
        <v>-0.0154031969620261</v>
      </c>
      <c r="AV41" s="44"/>
      <c r="AW41" s="38">
        <v>844.41</v>
      </c>
      <c r="AX41" s="37">
        <f>AW41/BX41-1</f>
        <v>0.480537924746642</v>
      </c>
      <c r="AY41" s="38">
        <v>709.48</v>
      </c>
      <c r="AZ41" s="37">
        <f>AY41/BY41-1</f>
        <v>-0.00891235716480876</v>
      </c>
      <c r="BA41" s="38">
        <v>856.18</v>
      </c>
      <c r="BB41" s="37">
        <f>BA41/BZ41-1</f>
        <v>0.081923295634043</v>
      </c>
      <c r="BC41" s="38">
        <v>802.28</v>
      </c>
      <c r="BD41" s="37">
        <f>BC41/CA41-1</f>
        <v>0.0393170365188553</v>
      </c>
      <c r="BE41" s="38">
        <v>808.29</v>
      </c>
      <c r="BF41" s="37">
        <f>BE41/CB41-1</f>
        <v>-0.00342757098647473</v>
      </c>
      <c r="BG41" s="38">
        <v>758.4</v>
      </c>
      <c r="BH41" s="37">
        <f>BG41/CC41-1</f>
        <v>-0.0246411852461546</v>
      </c>
      <c r="BI41" s="38">
        <v>753.72</v>
      </c>
      <c r="BJ41" s="37">
        <f>BI41/CD41-1</f>
        <v>-0.00585628363406132</v>
      </c>
      <c r="BK41" s="38">
        <v>738.79</v>
      </c>
      <c r="BL41" s="37">
        <f>BK41/CE41-1</f>
        <v>0.0203436179322156</v>
      </c>
      <c r="BM41" s="38">
        <v>730.36</v>
      </c>
      <c r="BN41" s="37">
        <f>BM41/CF41-1</f>
        <v>-0.0709188281538207</v>
      </c>
      <c r="BO41" s="38">
        <v>780.86</v>
      </c>
      <c r="BP41" s="37">
        <f>BO41/CG41-1</f>
        <v>-0.0449597612582863</v>
      </c>
      <c r="BQ41" s="38">
        <v>773.94</v>
      </c>
      <c r="BR41" s="37">
        <f>BQ41/CH41-1</f>
        <v>-0.0472004727433889</v>
      </c>
      <c r="BS41" s="38">
        <v>865.36</v>
      </c>
      <c r="BT41" s="37">
        <f>BS41/CI41-1</f>
        <v>0.0136700675889374</v>
      </c>
      <c r="BU41" s="38">
        <f t="shared" si="41"/>
        <v>9422.07</v>
      </c>
      <c r="BV41" s="219">
        <f>BU41/CJ41-1</f>
        <v>0.0252491014719212</v>
      </c>
      <c r="BW41" s="204"/>
      <c r="BX41" s="220">
        <v>570.34</v>
      </c>
      <c r="BY41" s="195">
        <v>715.86</v>
      </c>
      <c r="BZ41" s="195">
        <v>791.35</v>
      </c>
      <c r="CA41" s="195">
        <v>771.93</v>
      </c>
      <c r="CB41" s="195">
        <v>811.07</v>
      </c>
      <c r="CC41" s="195">
        <v>777.56</v>
      </c>
      <c r="CD41" s="195">
        <v>758.16</v>
      </c>
      <c r="CE41" s="195">
        <v>724.06</v>
      </c>
      <c r="CF41" s="195">
        <v>786.11</v>
      </c>
      <c r="CG41" s="195">
        <v>817.62</v>
      </c>
      <c r="CH41" s="195">
        <v>812.28</v>
      </c>
      <c r="CI41" s="195">
        <v>853.69</v>
      </c>
      <c r="CJ41" s="38">
        <f>BX41+BY41+BZ41+CA41+CB41+CC41+CD41+CE41+CF41+CG41+CH41+CI41</f>
        <v>9190.03</v>
      </c>
    </row>
    <row r="42" s="206" customFormat="1" ht="27" customHeight="1" spans="1:88">
      <c r="A42" s="45"/>
      <c r="B42" s="34" t="s">
        <v>274</v>
      </c>
      <c r="C42" s="35">
        <v>4375.43</v>
      </c>
      <c r="D42" s="36">
        <f t="shared" si="22"/>
        <v>0.00227235763977185</v>
      </c>
      <c r="E42" s="35">
        <v>3696.56</v>
      </c>
      <c r="F42" s="36">
        <f t="shared" si="23"/>
        <v>-0.0216470152315164</v>
      </c>
      <c r="G42" s="35">
        <v>4507.5</v>
      </c>
      <c r="H42" s="36">
        <f t="shared" si="24"/>
        <v>0.0107068781882393</v>
      </c>
      <c r="I42" s="35">
        <v>4600.41</v>
      </c>
      <c r="J42" s="36">
        <f t="shared" si="25"/>
        <v>-0.0138858224423871</v>
      </c>
      <c r="K42" s="35">
        <v>4465.59</v>
      </c>
      <c r="L42" s="36">
        <f t="shared" si="26"/>
        <v>-0.00813158011638748</v>
      </c>
      <c r="M42" s="224">
        <v>4305.03</v>
      </c>
      <c r="N42" s="36">
        <f t="shared" si="27"/>
        <v>0.00735445526020206</v>
      </c>
      <c r="O42" s="35">
        <v>3968.79</v>
      </c>
      <c r="P42" s="36">
        <f t="shared" si="28"/>
        <v>0.0352483005796027</v>
      </c>
      <c r="Q42" s="175"/>
      <c r="R42" s="127"/>
      <c r="S42" s="35">
        <f t="shared" si="29"/>
        <v>29919.31</v>
      </c>
      <c r="T42" s="36">
        <f t="shared" si="30"/>
        <v>-0.104401852661727</v>
      </c>
      <c r="U42" s="38"/>
      <c r="V42" s="35">
        <v>4365.51</v>
      </c>
      <c r="W42" s="36">
        <f t="shared" si="31"/>
        <v>-0.0735885813236904</v>
      </c>
      <c r="X42" s="35">
        <v>3778.35</v>
      </c>
      <c r="Y42" s="36">
        <f>X42/AW42-1</f>
        <v>-0.198190684764063</v>
      </c>
      <c r="Z42" s="35">
        <v>4459.75</v>
      </c>
      <c r="AA42" s="36">
        <f>Z42/AY42-1</f>
        <v>0.123402336606329</v>
      </c>
      <c r="AB42" s="35">
        <v>4665.19</v>
      </c>
      <c r="AC42" s="36">
        <f>AB42/BA42-1</f>
        <v>-0.0233650142354715</v>
      </c>
      <c r="AD42" s="35">
        <v>4502.2</v>
      </c>
      <c r="AE42" s="36">
        <f>AD42/BC42-1</f>
        <v>0.00487012262352748</v>
      </c>
      <c r="AF42" s="224">
        <v>4273.6</v>
      </c>
      <c r="AG42" s="36">
        <f t="shared" si="32"/>
        <v>0.00818132920649606</v>
      </c>
      <c r="AH42" s="35">
        <v>3833.66</v>
      </c>
      <c r="AI42" s="36">
        <f t="shared" si="33"/>
        <v>-0.0908539000230035</v>
      </c>
      <c r="AJ42" s="35">
        <v>3528.81</v>
      </c>
      <c r="AK42" s="36">
        <f t="shared" si="34"/>
        <v>-0.146469716063149</v>
      </c>
      <c r="AL42" s="35">
        <v>4229.77</v>
      </c>
      <c r="AM42" s="36">
        <f t="shared" si="35"/>
        <v>0.034963101436793</v>
      </c>
      <c r="AN42" s="35">
        <v>4681.64</v>
      </c>
      <c r="AO42" s="36">
        <f t="shared" si="36"/>
        <v>0.0725947241327169</v>
      </c>
      <c r="AP42" s="35">
        <v>4585.08</v>
      </c>
      <c r="AQ42" s="36">
        <f t="shared" si="37"/>
        <v>0.0596930757141536</v>
      </c>
      <c r="AR42" s="35">
        <v>4866.58</v>
      </c>
      <c r="AS42" s="36">
        <f t="shared" si="38"/>
        <v>0.00761939467222117</v>
      </c>
      <c r="AT42" s="35">
        <f t="shared" si="39"/>
        <v>51770.14</v>
      </c>
      <c r="AU42" s="36">
        <f t="shared" si="40"/>
        <v>-0.0167290460531189</v>
      </c>
      <c r="AV42" s="47"/>
      <c r="AW42" s="35">
        <v>4712.28</v>
      </c>
      <c r="AX42" s="36"/>
      <c r="AY42" s="35">
        <v>3969.86</v>
      </c>
      <c r="AZ42" s="36"/>
      <c r="BA42" s="35">
        <v>4776.8</v>
      </c>
      <c r="BB42" s="36"/>
      <c r="BC42" s="35">
        <v>4480.38</v>
      </c>
      <c r="BD42" s="36"/>
      <c r="BE42" s="35">
        <v>4513.32</v>
      </c>
      <c r="BF42" s="36"/>
      <c r="BG42" s="35">
        <v>4238.92</v>
      </c>
      <c r="BH42" s="36"/>
      <c r="BI42" s="35">
        <v>4216.77</v>
      </c>
      <c r="BJ42" s="36"/>
      <c r="BK42" s="35">
        <v>4134.37</v>
      </c>
      <c r="BL42" s="36"/>
      <c r="BM42" s="35">
        <v>4086.88</v>
      </c>
      <c r="BN42" s="36"/>
      <c r="BO42" s="35">
        <v>4364.78</v>
      </c>
      <c r="BP42" s="37"/>
      <c r="BQ42" s="35">
        <v>4326.8</v>
      </c>
      <c r="BR42" s="36"/>
      <c r="BS42" s="35">
        <v>4829.78</v>
      </c>
      <c r="BT42" s="36"/>
      <c r="BU42" s="35">
        <f t="shared" si="41"/>
        <v>52650.94</v>
      </c>
      <c r="BV42" s="221"/>
      <c r="BW42" s="222"/>
      <c r="BX42" s="223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s="206" customFormat="1" ht="27" customHeight="1" spans="1:88">
      <c r="A43" s="45"/>
      <c r="B43" s="34" t="s">
        <v>275</v>
      </c>
      <c r="C43" s="35">
        <v>777.08</v>
      </c>
      <c r="D43" s="36">
        <f t="shared" si="22"/>
        <v>0.00792508139097503</v>
      </c>
      <c r="E43" s="35">
        <v>653.55</v>
      </c>
      <c r="F43" s="36">
        <f t="shared" si="23"/>
        <v>-0.0160639547137997</v>
      </c>
      <c r="G43" s="35">
        <v>800.89</v>
      </c>
      <c r="H43" s="36">
        <f t="shared" si="24"/>
        <v>0.0163062788690929</v>
      </c>
      <c r="I43" s="35">
        <v>817.74</v>
      </c>
      <c r="J43" s="36">
        <f t="shared" si="25"/>
        <v>-0.0091843163863714</v>
      </c>
      <c r="K43" s="35">
        <v>793.22</v>
      </c>
      <c r="L43" s="36">
        <f t="shared" si="26"/>
        <v>-0.00309169515383056</v>
      </c>
      <c r="M43" s="224">
        <v>763.99</v>
      </c>
      <c r="N43" s="36">
        <f t="shared" si="27"/>
        <v>0.00449662752935298</v>
      </c>
      <c r="O43" s="35">
        <v>702.8</v>
      </c>
      <c r="P43" s="36">
        <f t="shared" si="28"/>
        <v>0.0342290372899314</v>
      </c>
      <c r="Q43" s="175"/>
      <c r="R43" s="127"/>
      <c r="S43" s="35">
        <f t="shared" si="29"/>
        <v>5309.27</v>
      </c>
      <c r="T43" s="36">
        <f t="shared" si="30"/>
        <v>-0.101205329180139</v>
      </c>
      <c r="U43" s="38"/>
      <c r="V43" s="35">
        <v>770.97</v>
      </c>
      <c r="W43" s="36">
        <f t="shared" si="31"/>
        <v>-0.0758304064826247</v>
      </c>
      <c r="X43" s="35">
        <v>664.22</v>
      </c>
      <c r="Y43" s="36">
        <f>X43/AY43-1</f>
        <v>-0.0502051964022707</v>
      </c>
      <c r="Z43" s="35">
        <v>788.04</v>
      </c>
      <c r="AA43" s="36">
        <f>Z43/BA43-1</f>
        <v>-0.0685436686642318</v>
      </c>
      <c r="AB43" s="35">
        <v>825.32</v>
      </c>
      <c r="AC43" s="36">
        <f>AB43/BC43-1</f>
        <v>0.0419128414886634</v>
      </c>
      <c r="AD43" s="35">
        <v>795.68</v>
      </c>
      <c r="AE43" s="36">
        <f>AD43/BE43-1</f>
        <v>-0.00306967536616842</v>
      </c>
      <c r="AF43" s="224">
        <v>760.57</v>
      </c>
      <c r="AG43" s="36">
        <f t="shared" si="32"/>
        <v>0.0164786699454722</v>
      </c>
      <c r="AH43" s="35">
        <v>679.54</v>
      </c>
      <c r="AI43" s="36">
        <f t="shared" si="33"/>
        <v>-0.0860009684187873</v>
      </c>
      <c r="AJ43" s="35">
        <v>622.76</v>
      </c>
      <c r="AK43" s="36">
        <f t="shared" si="34"/>
        <v>-0.145194498586213</v>
      </c>
      <c r="AL43" s="35">
        <v>750.19</v>
      </c>
      <c r="AM43" s="36">
        <f t="shared" si="35"/>
        <v>0.0414098506302405</v>
      </c>
      <c r="AN43" s="35">
        <v>832.83</v>
      </c>
      <c r="AO43" s="36">
        <f t="shared" si="36"/>
        <v>0.0804187639458254</v>
      </c>
      <c r="AP43" s="35">
        <v>815.24</v>
      </c>
      <c r="AQ43" s="36">
        <f t="shared" si="37"/>
        <v>0.0670540961505739</v>
      </c>
      <c r="AR43" s="35">
        <v>866.4</v>
      </c>
      <c r="AS43" s="36">
        <f t="shared" si="38"/>
        <v>0.0128239598798265</v>
      </c>
      <c r="AT43" s="35">
        <f t="shared" si="39"/>
        <v>9171.76</v>
      </c>
      <c r="AU43" s="36">
        <f t="shared" si="40"/>
        <v>-0.013867713751809</v>
      </c>
      <c r="AV43" s="47"/>
      <c r="AW43" s="35">
        <v>834.23</v>
      </c>
      <c r="AX43" s="36"/>
      <c r="AY43" s="35">
        <v>699.33</v>
      </c>
      <c r="AZ43" s="36"/>
      <c r="BA43" s="35">
        <v>846.03</v>
      </c>
      <c r="BB43" s="36"/>
      <c r="BC43" s="35">
        <v>792.12</v>
      </c>
      <c r="BD43" s="36"/>
      <c r="BE43" s="35">
        <v>798.13</v>
      </c>
      <c r="BF43" s="36"/>
      <c r="BG43" s="35">
        <v>748.24</v>
      </c>
      <c r="BH43" s="36"/>
      <c r="BI43" s="35">
        <v>743.48</v>
      </c>
      <c r="BJ43" s="36">
        <f>BI43/CD43-1</f>
        <v>-0.00784669584712283</v>
      </c>
      <c r="BK43" s="35">
        <v>728.54</v>
      </c>
      <c r="BL43" s="36">
        <f>BK43/CE43-1</f>
        <v>0.0194218229647665</v>
      </c>
      <c r="BM43" s="35">
        <v>720.36</v>
      </c>
      <c r="BN43" s="36">
        <f>BM43/CF43-1</f>
        <v>-0.0723704543113216</v>
      </c>
      <c r="BO43" s="35">
        <v>770.84</v>
      </c>
      <c r="BP43" s="36">
        <f>BO43/CG43-1</f>
        <v>-0.0460137125318679</v>
      </c>
      <c r="BQ43" s="35">
        <v>764.01</v>
      </c>
      <c r="BR43" s="36">
        <f>BQ43/CH43-1</f>
        <v>-0.0481761100313948</v>
      </c>
      <c r="BS43" s="35">
        <v>855.43</v>
      </c>
      <c r="BT43" s="36">
        <f>BS43/CI43-1</f>
        <v>0.0139751552795031</v>
      </c>
      <c r="BU43" s="35">
        <f t="shared" si="41"/>
        <v>9300.74</v>
      </c>
      <c r="BV43" s="221"/>
      <c r="BW43" s="222"/>
      <c r="BX43" s="223"/>
      <c r="BY43" s="46"/>
      <c r="BZ43" s="46"/>
      <c r="CA43" s="46"/>
      <c r="CB43" s="46"/>
      <c r="CC43" s="46"/>
      <c r="CD43" s="41">
        <v>749.36</v>
      </c>
      <c r="CE43" s="41">
        <v>714.66</v>
      </c>
      <c r="CF43" s="41">
        <v>776.56</v>
      </c>
      <c r="CG43" s="41">
        <v>808.02</v>
      </c>
      <c r="CH43" s="41">
        <v>802.68</v>
      </c>
      <c r="CI43" s="41">
        <v>843.64</v>
      </c>
      <c r="CJ43" s="35">
        <f>BX43+BY43+BZ43+CA43+CB43+CC43+CD43+CE43+CF43+CG43+CH43+CI43</f>
        <v>4694.92</v>
      </c>
    </row>
    <row r="44" s="206" customFormat="1" ht="29.1" customHeight="1" spans="1:88">
      <c r="A44" s="29"/>
      <c r="B44" s="34" t="s">
        <v>276</v>
      </c>
      <c r="C44" s="35">
        <v>4273.95</v>
      </c>
      <c r="D44" s="36">
        <f t="shared" si="22"/>
        <v>0.00792387420849683</v>
      </c>
      <c r="E44" s="35">
        <v>3594.54</v>
      </c>
      <c r="F44" s="36">
        <f t="shared" si="23"/>
        <v>-0.0160625420861595</v>
      </c>
      <c r="G44" s="225">
        <v>4404.92</v>
      </c>
      <c r="H44" s="36">
        <f t="shared" si="24"/>
        <v>0.016307357229872</v>
      </c>
      <c r="I44" s="35">
        <v>4497.59</v>
      </c>
      <c r="J44" s="36">
        <f t="shared" si="25"/>
        <v>-0.00918209315594809</v>
      </c>
      <c r="K44" s="35">
        <v>4362.73</v>
      </c>
      <c r="L44" s="36">
        <f t="shared" si="26"/>
        <v>-0.00308940302770644</v>
      </c>
      <c r="M44" s="224">
        <v>4201.97</v>
      </c>
      <c r="N44" s="36">
        <f t="shared" si="27"/>
        <v>0.00450140325210246</v>
      </c>
      <c r="O44" s="35">
        <v>3865.42</v>
      </c>
      <c r="P44" s="36">
        <f t="shared" si="28"/>
        <v>0.0342288541240245</v>
      </c>
      <c r="Q44" s="175"/>
      <c r="R44" s="127"/>
      <c r="S44" s="35">
        <f t="shared" si="29"/>
        <v>29201.12</v>
      </c>
      <c r="T44" s="36">
        <f t="shared" si="30"/>
        <v>-0.101203940392408</v>
      </c>
      <c r="U44" s="38"/>
      <c r="V44" s="35">
        <v>4240.35</v>
      </c>
      <c r="W44" s="36">
        <f t="shared" si="31"/>
        <v>-0.075830158577942</v>
      </c>
      <c r="X44" s="35">
        <v>3653.22</v>
      </c>
      <c r="Y44" s="36">
        <f>X44/AY44-1</f>
        <v>-0.0502038311944925</v>
      </c>
      <c r="Z44" s="35">
        <v>4334.24</v>
      </c>
      <c r="AA44" s="36">
        <f>Z44/BA44-1</f>
        <v>-0.0685423731727551</v>
      </c>
      <c r="AB44" s="35">
        <v>4539.27</v>
      </c>
      <c r="AC44" s="36">
        <f>AB44/BC44-1</f>
        <v>0.0419127452848163</v>
      </c>
      <c r="AD44" s="35">
        <v>4376.25</v>
      </c>
      <c r="AE44" s="36">
        <f>AD44/BE44-1</f>
        <v>-0.00307080389910075</v>
      </c>
      <c r="AF44" s="224">
        <v>4183.14</v>
      </c>
      <c r="AG44" s="36">
        <f t="shared" si="32"/>
        <v>0.016477414933918</v>
      </c>
      <c r="AH44" s="35">
        <v>3737.49</v>
      </c>
      <c r="AI44" s="36">
        <f t="shared" si="33"/>
        <v>-0.0860005477897662</v>
      </c>
      <c r="AJ44" s="35">
        <v>3425.19</v>
      </c>
      <c r="AK44" s="36">
        <f t="shared" si="34"/>
        <v>-0.145194136232275</v>
      </c>
      <c r="AL44" s="35">
        <v>4126.07</v>
      </c>
      <c r="AM44" s="36">
        <f t="shared" si="35"/>
        <v>0.0414161606065653</v>
      </c>
      <c r="AN44" s="35">
        <v>4580.59</v>
      </c>
      <c r="AO44" s="36">
        <f t="shared" si="36"/>
        <v>0.0804221123069702</v>
      </c>
      <c r="AP44" s="35">
        <v>4483.83</v>
      </c>
      <c r="AQ44" s="36">
        <f t="shared" si="37"/>
        <v>0.0670526668998852</v>
      </c>
      <c r="AR44" s="35">
        <v>4765.21</v>
      </c>
      <c r="AS44" s="36">
        <f t="shared" si="38"/>
        <v>0.0128228562683852</v>
      </c>
      <c r="AT44" s="35">
        <f t="shared" si="39"/>
        <v>50444.85</v>
      </c>
      <c r="AU44" s="36">
        <f t="shared" si="40"/>
        <v>-0.0138670893363421</v>
      </c>
      <c r="AV44" s="47"/>
      <c r="AW44" s="35">
        <v>4588.28</v>
      </c>
      <c r="AX44" s="36"/>
      <c r="AY44" s="35">
        <v>3846.32</v>
      </c>
      <c r="AZ44" s="36"/>
      <c r="BA44" s="35">
        <v>4653.18</v>
      </c>
      <c r="BB44" s="36"/>
      <c r="BC44" s="35">
        <v>4356.67</v>
      </c>
      <c r="BD44" s="36"/>
      <c r="BE44" s="35">
        <v>4389.73</v>
      </c>
      <c r="BF44" s="36"/>
      <c r="BG44" s="35">
        <v>4115.33</v>
      </c>
      <c r="BH44" s="36"/>
      <c r="BI44" s="35">
        <v>4089.16</v>
      </c>
      <c r="BJ44" s="36"/>
      <c r="BK44" s="35">
        <v>4006.98</v>
      </c>
      <c r="BL44" s="36"/>
      <c r="BM44" s="35">
        <v>3961.98</v>
      </c>
      <c r="BN44" s="36"/>
      <c r="BO44" s="35">
        <v>4239.63</v>
      </c>
      <c r="BP44" s="37"/>
      <c r="BQ44" s="35">
        <v>4202.07</v>
      </c>
      <c r="BR44" s="36"/>
      <c r="BS44" s="35">
        <v>4704.88</v>
      </c>
      <c r="BT44" s="36"/>
      <c r="BU44" s="35">
        <f t="shared" si="41"/>
        <v>51154.21</v>
      </c>
      <c r="BV44" s="221"/>
      <c r="BW44" s="222"/>
      <c r="BX44" s="223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7"/>
    </row>
    <row r="45" s="207" customFormat="1" ht="27" customHeight="1" spans="1:88">
      <c r="A45" s="48" t="s">
        <v>102</v>
      </c>
      <c r="B45" s="34" t="s">
        <v>273</v>
      </c>
      <c r="C45" s="35">
        <v>654.75</v>
      </c>
      <c r="D45" s="36">
        <f t="shared" si="22"/>
        <v>-0.0167885513492408</v>
      </c>
      <c r="E45" s="35">
        <v>628.21</v>
      </c>
      <c r="F45" s="36">
        <f t="shared" si="23"/>
        <v>-0.0265893983296404</v>
      </c>
      <c r="G45" s="35">
        <v>666.6</v>
      </c>
      <c r="H45" s="36">
        <f t="shared" si="24"/>
        <v>0.0139945238819592</v>
      </c>
      <c r="I45" s="35">
        <v>686.3</v>
      </c>
      <c r="J45" s="36">
        <f t="shared" si="25"/>
        <v>0.0896937171527921</v>
      </c>
      <c r="K45" s="35">
        <v>683.06</v>
      </c>
      <c r="L45" s="36">
        <f t="shared" si="26"/>
        <v>0.0839125329271002</v>
      </c>
      <c r="M45" s="224">
        <v>668.31</v>
      </c>
      <c r="N45" s="36">
        <f t="shared" si="27"/>
        <v>0.0727976114036213</v>
      </c>
      <c r="O45" s="35">
        <v>602.34</v>
      </c>
      <c r="P45" s="36">
        <f t="shared" si="28"/>
        <v>0.0316690930889783</v>
      </c>
      <c r="Q45" s="175"/>
      <c r="R45" s="127"/>
      <c r="S45" s="103">
        <f t="shared" si="29"/>
        <v>4589.57</v>
      </c>
      <c r="T45" s="104">
        <f t="shared" si="30"/>
        <v>-0.0898640220674118</v>
      </c>
      <c r="U45" s="38"/>
      <c r="V45" s="35">
        <v>665.93</v>
      </c>
      <c r="W45" s="36">
        <f t="shared" si="31"/>
        <v>0.0169664946092054</v>
      </c>
      <c r="X45" s="35">
        <v>645.37</v>
      </c>
      <c r="Y45" s="36">
        <f>X45/AY45-1</f>
        <v>0.140552099533437</v>
      </c>
      <c r="Z45" s="35">
        <v>657.4</v>
      </c>
      <c r="AA45" s="36">
        <f>Z45/BA45-1</f>
        <v>0.0378252083859558</v>
      </c>
      <c r="AB45" s="35">
        <v>629.81</v>
      </c>
      <c r="AC45" s="36">
        <f>AB45/BC45-1</f>
        <v>-0.0240799566126909</v>
      </c>
      <c r="AD45" s="35">
        <v>630.18</v>
      </c>
      <c r="AE45" s="36">
        <f>AD45/BE45-1</f>
        <v>-0.00557037130548688</v>
      </c>
      <c r="AF45" s="224">
        <v>622.96</v>
      </c>
      <c r="AG45" s="36">
        <f t="shared" si="32"/>
        <v>-0.0016506674786454</v>
      </c>
      <c r="AH45" s="35">
        <v>583.85</v>
      </c>
      <c r="AI45" s="36">
        <f t="shared" si="33"/>
        <v>-0.0202708371788631</v>
      </c>
      <c r="AJ45" s="35">
        <v>607.23</v>
      </c>
      <c r="AK45" s="36">
        <f t="shared" si="34"/>
        <v>-0.0460757823300237</v>
      </c>
      <c r="AL45" s="35">
        <v>639.56</v>
      </c>
      <c r="AM45" s="36">
        <f t="shared" si="35"/>
        <v>-0.0536953466005772</v>
      </c>
      <c r="AN45" s="35">
        <v>665.97</v>
      </c>
      <c r="AO45" s="36">
        <f t="shared" si="36"/>
        <v>-0.0342662412993039</v>
      </c>
      <c r="AP45" s="35">
        <v>648.38</v>
      </c>
      <c r="AQ45" s="36">
        <f t="shared" si="37"/>
        <v>-0.0413968479257222</v>
      </c>
      <c r="AR45" s="35">
        <v>641.95</v>
      </c>
      <c r="AS45" s="36">
        <f t="shared" si="38"/>
        <v>-0.0444755369661968</v>
      </c>
      <c r="AT45" s="35">
        <f t="shared" si="39"/>
        <v>7638.59</v>
      </c>
      <c r="AU45" s="36">
        <f t="shared" si="40"/>
        <v>-0.00840029597704917</v>
      </c>
      <c r="AV45" s="44"/>
      <c r="AW45" s="38">
        <v>654.82</v>
      </c>
      <c r="AX45" s="37">
        <f>AW45/BX45-1</f>
        <v>0.33448816972019</v>
      </c>
      <c r="AY45" s="38">
        <v>565.84</v>
      </c>
      <c r="AZ45" s="37">
        <f>AY45/BY45-1</f>
        <v>0.0682272984708325</v>
      </c>
      <c r="BA45" s="38">
        <v>633.44</v>
      </c>
      <c r="BB45" s="37">
        <f>BA45/BZ45-1</f>
        <v>0.139157644858469</v>
      </c>
      <c r="BC45" s="38">
        <v>645.35</v>
      </c>
      <c r="BD45" s="37">
        <f>BC45/CA45-1</f>
        <v>0.099834688208327</v>
      </c>
      <c r="BE45" s="38">
        <v>633.71</v>
      </c>
      <c r="BF45" s="37">
        <f>BE45/CB45-1</f>
        <v>0.0770054384772265</v>
      </c>
      <c r="BG45" s="38">
        <v>623.99</v>
      </c>
      <c r="BH45" s="37">
        <f>BG45/CC45-1</f>
        <v>0.103450105218483</v>
      </c>
      <c r="BI45" s="38">
        <v>595.93</v>
      </c>
      <c r="BJ45" s="37">
        <f>BI45/CD45-1</f>
        <v>0.0724144756968812</v>
      </c>
      <c r="BK45" s="38">
        <v>636.56</v>
      </c>
      <c r="BL45" s="37">
        <f>BK45/CE45-1</f>
        <v>0.155365180775374</v>
      </c>
      <c r="BM45" s="38">
        <v>675.85</v>
      </c>
      <c r="BN45" s="37">
        <f>BM45/CF45-1</f>
        <v>0.173309954515468</v>
      </c>
      <c r="BO45" s="38">
        <v>689.6</v>
      </c>
      <c r="BP45" s="37">
        <f>BO45/CG45-1</f>
        <v>0.126429271479908</v>
      </c>
      <c r="BQ45" s="38">
        <v>676.38</v>
      </c>
      <c r="BR45" s="37">
        <f>BQ45/CH45-1</f>
        <v>0.112137853924825</v>
      </c>
      <c r="BS45" s="38">
        <v>671.83</v>
      </c>
      <c r="BT45" s="37">
        <f>BS45/CI45-1</f>
        <v>0.0663121974446474</v>
      </c>
      <c r="BU45" s="38">
        <f t="shared" si="41"/>
        <v>7703.3</v>
      </c>
      <c r="BV45" s="219">
        <f>BU45/CJ45-1</f>
        <v>0.124534868274111</v>
      </c>
      <c r="BW45" s="204"/>
      <c r="BX45" s="226">
        <v>490.69</v>
      </c>
      <c r="BY45" s="197">
        <v>529.7</v>
      </c>
      <c r="BZ45" s="197">
        <v>556.06</v>
      </c>
      <c r="CA45" s="197">
        <v>586.77</v>
      </c>
      <c r="CB45" s="197">
        <v>588.4</v>
      </c>
      <c r="CC45" s="197">
        <v>565.49</v>
      </c>
      <c r="CD45" s="197">
        <v>555.69</v>
      </c>
      <c r="CE45" s="197">
        <v>550.96</v>
      </c>
      <c r="CF45" s="197">
        <v>576.02</v>
      </c>
      <c r="CG45" s="197">
        <v>612.2</v>
      </c>
      <c r="CH45" s="197">
        <v>608.18</v>
      </c>
      <c r="CI45" s="197">
        <v>630.05</v>
      </c>
      <c r="CJ45" s="38">
        <f>BX45+BY45+BZ45+CA45+CB45+CC45+CD45+CE45+CF45+CG45+CH45+CI45</f>
        <v>6850.21</v>
      </c>
    </row>
    <row r="46" ht="27" customHeight="1" spans="1:88">
      <c r="A46" s="45"/>
      <c r="B46" s="34" t="s">
        <v>274</v>
      </c>
      <c r="C46" s="35">
        <v>8750.57</v>
      </c>
      <c r="D46" s="36">
        <f t="shared" si="22"/>
        <v>0.238869658165035</v>
      </c>
      <c r="E46" s="35">
        <v>8222.53</v>
      </c>
      <c r="F46" s="36">
        <f t="shared" si="23"/>
        <v>-0.0342965864314613</v>
      </c>
      <c r="G46" s="35">
        <v>9063.34</v>
      </c>
      <c r="H46" s="36">
        <f t="shared" si="24"/>
        <v>0.0400990598949726</v>
      </c>
      <c r="I46" s="35">
        <v>9322.35</v>
      </c>
      <c r="J46" s="36">
        <f t="shared" si="25"/>
        <v>0.134981238570869</v>
      </c>
      <c r="K46" s="35">
        <v>9271.04</v>
      </c>
      <c r="L46" s="36">
        <f t="shared" si="26"/>
        <v>0.12551686629097</v>
      </c>
      <c r="M46" s="224">
        <v>9071.52</v>
      </c>
      <c r="N46" s="36">
        <f t="shared" si="27"/>
        <v>0.106686462502791</v>
      </c>
      <c r="O46" s="35">
        <v>8182.59</v>
      </c>
      <c r="P46" s="36">
        <f t="shared" si="28"/>
        <v>0.0052939369740157</v>
      </c>
      <c r="Q46" s="175"/>
      <c r="R46" s="127"/>
      <c r="S46" s="35">
        <f t="shared" si="29"/>
        <v>61883.94</v>
      </c>
      <c r="T46" s="36">
        <f t="shared" si="30"/>
        <v>-0.0499148309322999</v>
      </c>
      <c r="U46" s="38"/>
      <c r="V46" s="35">
        <v>7063.35</v>
      </c>
      <c r="W46" s="36">
        <f t="shared" si="31"/>
        <v>0.0270303673599954</v>
      </c>
      <c r="X46" s="35">
        <v>8514.55</v>
      </c>
      <c r="Y46" s="36">
        <f>X46/AW46-1</f>
        <v>0.238038807988426</v>
      </c>
      <c r="Z46" s="35">
        <v>8713.92</v>
      </c>
      <c r="AA46" s="36">
        <f>Z46/AY46-1</f>
        <v>0.44774753071549</v>
      </c>
      <c r="AB46" s="35">
        <v>8213.66</v>
      </c>
      <c r="AC46" s="36">
        <f>AB46/BA46-1</f>
        <v>0.236306220470189</v>
      </c>
      <c r="AD46" s="35">
        <v>8237.14</v>
      </c>
      <c r="AE46" s="36">
        <f>AD46/BC46-1</f>
        <v>0.212349654713615</v>
      </c>
      <c r="AF46" s="224">
        <v>8197.01</v>
      </c>
      <c r="AG46" s="36">
        <f t="shared" si="32"/>
        <v>0.239317945066093</v>
      </c>
      <c r="AH46" s="35">
        <v>8139.5</v>
      </c>
      <c r="AI46" s="36">
        <f t="shared" si="33"/>
        <v>0.284908969499691</v>
      </c>
      <c r="AJ46" s="35">
        <v>8056.02</v>
      </c>
      <c r="AK46" s="36">
        <f t="shared" si="34"/>
        <v>0.194994563500245</v>
      </c>
      <c r="AL46" s="35">
        <v>8670.72</v>
      </c>
      <c r="AM46" s="36">
        <f t="shared" si="35"/>
        <v>0.222698851858433</v>
      </c>
      <c r="AN46" s="35">
        <v>9048.2</v>
      </c>
      <c r="AO46" s="36">
        <f t="shared" si="36"/>
        <v>0.247262025377527</v>
      </c>
      <c r="AP46" s="35">
        <v>8765.48</v>
      </c>
      <c r="AQ46" s="36">
        <f t="shared" si="37"/>
        <v>0.231710487303467</v>
      </c>
      <c r="AR46" s="35">
        <v>8565.69</v>
      </c>
      <c r="AS46" s="36">
        <f t="shared" si="38"/>
        <v>0.209095220753263</v>
      </c>
      <c r="AT46" s="35">
        <f t="shared" si="39"/>
        <v>100185.24</v>
      </c>
      <c r="AU46" s="36">
        <f t="shared" si="40"/>
        <v>0.232588840056525</v>
      </c>
      <c r="AV46" s="47"/>
      <c r="AW46" s="35">
        <v>6877.45</v>
      </c>
      <c r="AX46" s="36"/>
      <c r="AY46" s="35">
        <v>6018.95</v>
      </c>
      <c r="AZ46" s="36"/>
      <c r="BA46" s="35">
        <v>6643.71</v>
      </c>
      <c r="BB46" s="36"/>
      <c r="BC46" s="35">
        <v>6794.36</v>
      </c>
      <c r="BD46" s="36"/>
      <c r="BE46" s="35">
        <v>6708.78</v>
      </c>
      <c r="BF46" s="36"/>
      <c r="BG46" s="35">
        <v>6614.13</v>
      </c>
      <c r="BH46" s="36"/>
      <c r="BI46" s="35">
        <v>6334.69</v>
      </c>
      <c r="BJ46" s="36"/>
      <c r="BK46" s="35">
        <v>6741.47</v>
      </c>
      <c r="BL46" s="36"/>
      <c r="BM46" s="35">
        <v>7091.46</v>
      </c>
      <c r="BN46" s="36"/>
      <c r="BO46" s="35">
        <v>7254.45</v>
      </c>
      <c r="BP46" s="37"/>
      <c r="BQ46" s="35">
        <v>7116.51</v>
      </c>
      <c r="BR46" s="36"/>
      <c r="BS46" s="35">
        <v>7084.38</v>
      </c>
      <c r="BT46" s="36"/>
      <c r="BU46" s="35">
        <f t="shared" si="41"/>
        <v>81280.34</v>
      </c>
      <c r="BV46" s="221"/>
      <c r="BW46" s="222"/>
      <c r="BX46" s="223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7"/>
    </row>
    <row r="47" ht="27" customHeight="1" spans="1:88">
      <c r="A47" s="45"/>
      <c r="B47" s="34" t="s">
        <v>275</v>
      </c>
      <c r="C47" s="35">
        <v>415.11</v>
      </c>
      <c r="D47" s="36">
        <f t="shared" si="22"/>
        <v>-0.0876101720992594</v>
      </c>
      <c r="E47" s="35">
        <v>390.95</v>
      </c>
      <c r="F47" s="36">
        <f t="shared" si="23"/>
        <v>-0.0711791119241644</v>
      </c>
      <c r="G47" s="35">
        <v>410.22</v>
      </c>
      <c r="H47" s="36">
        <f t="shared" si="24"/>
        <v>-0.0453339539213404</v>
      </c>
      <c r="I47" s="35">
        <v>423.61</v>
      </c>
      <c r="J47" s="36">
        <f t="shared" si="25"/>
        <v>0.0404273609234926</v>
      </c>
      <c r="K47" s="35">
        <v>419.37</v>
      </c>
      <c r="L47" s="36">
        <f t="shared" si="26"/>
        <v>0.0361210623841879</v>
      </c>
      <c r="M47" s="224">
        <v>411.33</v>
      </c>
      <c r="N47" s="36">
        <f t="shared" si="27"/>
        <v>0.0382401938512797</v>
      </c>
      <c r="O47" s="35">
        <v>359.88</v>
      </c>
      <c r="P47" s="36">
        <f t="shared" si="28"/>
        <v>0.000973493171640749</v>
      </c>
      <c r="Q47" s="175"/>
      <c r="R47" s="127"/>
      <c r="S47" s="35">
        <f t="shared" si="29"/>
        <v>2830.47</v>
      </c>
      <c r="T47" s="36">
        <f t="shared" si="30"/>
        <v>-0.128684008003694</v>
      </c>
      <c r="U47" s="38"/>
      <c r="V47" s="35">
        <v>454.97</v>
      </c>
      <c r="W47" s="36">
        <f t="shared" si="31"/>
        <v>-0.0407345716755572</v>
      </c>
      <c r="X47" s="35">
        <v>420.91</v>
      </c>
      <c r="Y47" s="36">
        <f>X47/AY47-1</f>
        <v>0.051118769353711</v>
      </c>
      <c r="Z47" s="35">
        <v>429.7</v>
      </c>
      <c r="AA47" s="36">
        <f>Z47/BA47-1</f>
        <v>-0.0664581025005975</v>
      </c>
      <c r="AB47" s="35">
        <v>407.15</v>
      </c>
      <c r="AC47" s="36">
        <f>AB47/BC47-1</f>
        <v>-0.113812467351558</v>
      </c>
      <c r="AD47" s="35">
        <v>404.75</v>
      </c>
      <c r="AE47" s="36">
        <f>AD47/BE47-1</f>
        <v>-0.0979898377607418</v>
      </c>
      <c r="AF47" s="224">
        <v>396.18</v>
      </c>
      <c r="AG47" s="36">
        <f t="shared" si="32"/>
        <v>-0.098546042003231</v>
      </c>
      <c r="AH47" s="35">
        <v>359.53</v>
      </c>
      <c r="AI47" s="36">
        <f t="shared" si="33"/>
        <v>-0.128623364032962</v>
      </c>
      <c r="AJ47" s="35">
        <v>375.31</v>
      </c>
      <c r="AK47" s="36">
        <f t="shared" si="34"/>
        <v>-0.137813002526993</v>
      </c>
      <c r="AL47" s="35">
        <v>402.86</v>
      </c>
      <c r="AM47" s="36">
        <f t="shared" si="35"/>
        <v>-0.121754485404722</v>
      </c>
      <c r="AN47" s="35">
        <v>414.28</v>
      </c>
      <c r="AO47" s="36">
        <f t="shared" si="36"/>
        <v>-0.117708444255138</v>
      </c>
      <c r="AP47" s="35">
        <v>407.53</v>
      </c>
      <c r="AQ47" s="36">
        <f t="shared" si="37"/>
        <v>-0.123214285714286</v>
      </c>
      <c r="AR47" s="35">
        <v>406.72</v>
      </c>
      <c r="AS47" s="36">
        <f t="shared" si="38"/>
        <v>-0.119577452593298</v>
      </c>
      <c r="AT47" s="35">
        <f t="shared" si="39"/>
        <v>4879.89</v>
      </c>
      <c r="AU47" s="36">
        <f t="shared" si="40"/>
        <v>-0.0938987186176446</v>
      </c>
      <c r="AV47" s="47"/>
      <c r="AW47" s="35">
        <v>474.29</v>
      </c>
      <c r="AX47" s="36"/>
      <c r="AY47" s="35">
        <v>400.44</v>
      </c>
      <c r="AZ47" s="36"/>
      <c r="BA47" s="35">
        <v>460.29</v>
      </c>
      <c r="BB47" s="36"/>
      <c r="BC47" s="35">
        <v>459.44</v>
      </c>
      <c r="BD47" s="36"/>
      <c r="BE47" s="35">
        <v>448.72</v>
      </c>
      <c r="BF47" s="36"/>
      <c r="BG47" s="35">
        <v>439.49</v>
      </c>
      <c r="BH47" s="36"/>
      <c r="BI47" s="35">
        <v>412.6</v>
      </c>
      <c r="BJ47" s="36">
        <f>BI47/CD47-1</f>
        <v>-0.00537569606826882</v>
      </c>
      <c r="BK47" s="35">
        <v>435.3</v>
      </c>
      <c r="BL47" s="36">
        <f>BK47/CE47-1</f>
        <v>0.0748678947108499</v>
      </c>
      <c r="BM47" s="35">
        <v>458.71</v>
      </c>
      <c r="BN47" s="36">
        <f>BM47/CF47-1</f>
        <v>0.0756982388668714</v>
      </c>
      <c r="BO47" s="35">
        <v>469.55</v>
      </c>
      <c r="BP47" s="36">
        <f>BO47/CG47-1</f>
        <v>0.0306415856362081</v>
      </c>
      <c r="BQ47" s="35">
        <v>464.8</v>
      </c>
      <c r="BR47" s="36">
        <f>BQ47/CH47-1</f>
        <v>0.0237885462555065</v>
      </c>
      <c r="BS47" s="35">
        <v>461.96</v>
      </c>
      <c r="BT47" s="36">
        <f>BS47/CI47-1</f>
        <v>-0.0251334754257497</v>
      </c>
      <c r="BU47" s="35">
        <f t="shared" si="41"/>
        <v>5385.59</v>
      </c>
      <c r="BV47" s="221"/>
      <c r="BW47" s="222"/>
      <c r="BX47" s="227"/>
      <c r="BY47" s="49"/>
      <c r="BZ47" s="49"/>
      <c r="CA47" s="49"/>
      <c r="CB47" s="49"/>
      <c r="CC47" s="49"/>
      <c r="CD47" s="50">
        <v>414.83</v>
      </c>
      <c r="CE47" s="50">
        <v>404.98</v>
      </c>
      <c r="CF47" s="50">
        <v>426.43</v>
      </c>
      <c r="CG47" s="50">
        <v>455.59</v>
      </c>
      <c r="CH47" s="50">
        <v>454</v>
      </c>
      <c r="CI47" s="50">
        <v>473.87</v>
      </c>
      <c r="CJ47" s="35">
        <f>BX47+BY47+BZ47+CA47+CB47+CC47+CD47+CE47+CF47+CG47+CH47+CI47</f>
        <v>2629.7</v>
      </c>
    </row>
    <row r="48" ht="27" customHeight="1" spans="1:88">
      <c r="A48" s="29"/>
      <c r="B48" s="34" t="s">
        <v>276</v>
      </c>
      <c r="C48" s="35">
        <v>3611.56</v>
      </c>
      <c r="D48" s="36">
        <f t="shared" si="22"/>
        <v>0.588224946788862</v>
      </c>
      <c r="E48" s="35">
        <v>3310.48</v>
      </c>
      <c r="F48" s="36">
        <f t="shared" si="23"/>
        <v>0.308919526959437</v>
      </c>
      <c r="G48" s="225">
        <v>3561.77</v>
      </c>
      <c r="H48" s="36">
        <f t="shared" si="24"/>
        <v>0.394672336559847</v>
      </c>
      <c r="I48" s="35">
        <v>3677.9</v>
      </c>
      <c r="J48" s="36">
        <f t="shared" si="25"/>
        <v>0.566730564430245</v>
      </c>
      <c r="K48" s="35">
        <v>3602.79</v>
      </c>
      <c r="L48" s="36">
        <f t="shared" si="26"/>
        <v>0.546069373339799</v>
      </c>
      <c r="M48" s="224">
        <v>3579.67</v>
      </c>
      <c r="N48" s="36">
        <f t="shared" si="27"/>
        <v>0.55540444243604</v>
      </c>
      <c r="O48" s="35">
        <v>3011.9</v>
      </c>
      <c r="P48" s="36">
        <f t="shared" si="28"/>
        <v>0.0526260606992577</v>
      </c>
      <c r="Q48" s="175"/>
      <c r="R48" s="127"/>
      <c r="S48" s="35">
        <f t="shared" si="29"/>
        <v>24356.07</v>
      </c>
      <c r="T48" s="36">
        <f t="shared" si="30"/>
        <v>0.204088927120102</v>
      </c>
      <c r="U48" s="38"/>
      <c r="V48" s="35">
        <v>2273.96</v>
      </c>
      <c r="W48" s="36">
        <f t="shared" si="31"/>
        <v>-0.0407377253188106</v>
      </c>
      <c r="X48" s="35">
        <v>2529.17</v>
      </c>
      <c r="Y48" s="36">
        <f>X48/AY48-1</f>
        <v>0.263883544632729</v>
      </c>
      <c r="Z48" s="35">
        <v>2553.84</v>
      </c>
      <c r="AA48" s="36">
        <f>Z48/BA48-1</f>
        <v>0.11019627447997</v>
      </c>
      <c r="AB48" s="35">
        <v>2347.5</v>
      </c>
      <c r="AC48" s="36">
        <f>AB48/BC48-1</f>
        <v>0.0223189983669025</v>
      </c>
      <c r="AD48" s="35">
        <v>2330.29</v>
      </c>
      <c r="AE48" s="36">
        <f>AD48/BE48-1</f>
        <v>0.0390741351787609</v>
      </c>
      <c r="AF48" s="224">
        <v>2301.44</v>
      </c>
      <c r="AG48" s="36">
        <f t="shared" si="32"/>
        <v>0.0477569268030631</v>
      </c>
      <c r="AH48" s="35">
        <v>2861.32</v>
      </c>
      <c r="AI48" s="36">
        <f t="shared" si="33"/>
        <v>0.387575772270986</v>
      </c>
      <c r="AJ48" s="35">
        <v>3030.28</v>
      </c>
      <c r="AK48" s="36">
        <f t="shared" si="34"/>
        <v>0.392854352152749</v>
      </c>
      <c r="AL48" s="35">
        <v>3397.58</v>
      </c>
      <c r="AM48" s="36">
        <f t="shared" si="35"/>
        <v>0.481957402633656</v>
      </c>
      <c r="AN48" s="35">
        <v>3613.03</v>
      </c>
      <c r="AO48" s="36">
        <f t="shared" si="36"/>
        <v>0.539555991136867</v>
      </c>
      <c r="AP48" s="35">
        <v>3569.09</v>
      </c>
      <c r="AQ48" s="36">
        <f t="shared" si="37"/>
        <v>0.536328143496059</v>
      </c>
      <c r="AR48" s="35">
        <v>3515.69</v>
      </c>
      <c r="AS48" s="36">
        <f t="shared" si="38"/>
        <v>0.522642424662399</v>
      </c>
      <c r="AT48" s="35">
        <f t="shared" si="39"/>
        <v>34323.19</v>
      </c>
      <c r="AU48" s="36">
        <f t="shared" si="40"/>
        <v>0.275166690629548</v>
      </c>
      <c r="AV48" s="47"/>
      <c r="AW48" s="35">
        <v>2370.53</v>
      </c>
      <c r="AX48" s="36"/>
      <c r="AY48" s="35">
        <v>2001.11</v>
      </c>
      <c r="AZ48" s="36"/>
      <c r="BA48" s="35">
        <v>2300.35</v>
      </c>
      <c r="BB48" s="36"/>
      <c r="BC48" s="35">
        <v>2296.25</v>
      </c>
      <c r="BD48" s="36"/>
      <c r="BE48" s="35">
        <v>2242.66</v>
      </c>
      <c r="BF48" s="36"/>
      <c r="BG48" s="35">
        <v>2196.54</v>
      </c>
      <c r="BH48" s="36"/>
      <c r="BI48" s="35">
        <v>2062.1</v>
      </c>
      <c r="BJ48" s="36"/>
      <c r="BK48" s="35">
        <v>2175.59</v>
      </c>
      <c r="BL48" s="36"/>
      <c r="BM48" s="35">
        <v>2292.63</v>
      </c>
      <c r="BN48" s="36"/>
      <c r="BO48" s="35">
        <v>2346.8</v>
      </c>
      <c r="BP48" s="37"/>
      <c r="BQ48" s="35">
        <v>2323.13</v>
      </c>
      <c r="BR48" s="36"/>
      <c r="BS48" s="35">
        <v>2308.94</v>
      </c>
      <c r="BT48" s="36"/>
      <c r="BU48" s="35">
        <f t="shared" si="41"/>
        <v>26916.63</v>
      </c>
      <c r="BV48" s="221"/>
      <c r="BW48" s="222"/>
      <c r="BX48" s="227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7"/>
    </row>
    <row r="49" s="207" customFormat="1" ht="27" customHeight="1" spans="1:88">
      <c r="A49" s="48" t="s">
        <v>103</v>
      </c>
      <c r="B49" s="34" t="s">
        <v>273</v>
      </c>
      <c r="C49" s="35">
        <v>681.62</v>
      </c>
      <c r="D49" s="36">
        <f t="shared" si="22"/>
        <v>-0.0666191956399688</v>
      </c>
      <c r="E49" s="35">
        <v>610.86</v>
      </c>
      <c r="F49" s="36">
        <f t="shared" si="23"/>
        <v>-0.01416951778452</v>
      </c>
      <c r="G49" s="35">
        <v>716.97</v>
      </c>
      <c r="H49" s="36">
        <f t="shared" si="24"/>
        <v>0.0412600209132103</v>
      </c>
      <c r="I49" s="35">
        <v>736.36</v>
      </c>
      <c r="J49" s="36">
        <f t="shared" si="25"/>
        <v>0.0590536459082411</v>
      </c>
      <c r="K49" s="35">
        <v>739.61</v>
      </c>
      <c r="L49" s="36">
        <f t="shared" si="26"/>
        <v>0.067597217009729</v>
      </c>
      <c r="M49" s="224">
        <v>687.86</v>
      </c>
      <c r="N49" s="36">
        <f t="shared" si="27"/>
        <v>0.00808980859981823</v>
      </c>
      <c r="O49" s="35">
        <v>620.62</v>
      </c>
      <c r="P49" s="36">
        <f t="shared" si="28"/>
        <v>0.0378087322954466</v>
      </c>
      <c r="Q49" s="175"/>
      <c r="R49" s="127"/>
      <c r="S49" s="103">
        <f t="shared" si="29"/>
        <v>4793.9</v>
      </c>
      <c r="T49" s="104">
        <f t="shared" si="30"/>
        <v>-0.0932596425923403</v>
      </c>
      <c r="U49" s="38"/>
      <c r="V49" s="35">
        <v>730.27</v>
      </c>
      <c r="W49" s="36">
        <f t="shared" si="31"/>
        <v>-0.0265662490002667</v>
      </c>
      <c r="X49" s="35">
        <v>619.64</v>
      </c>
      <c r="Y49" s="36">
        <f>X49/AY49-1</f>
        <v>-0.0503747069010436</v>
      </c>
      <c r="Z49" s="35">
        <v>688.56</v>
      </c>
      <c r="AA49" s="36">
        <f>Z49/BA49-1</f>
        <v>-0.0255445012100027</v>
      </c>
      <c r="AB49" s="35">
        <v>695.3</v>
      </c>
      <c r="AC49" s="36">
        <f>AB49/BC49-1</f>
        <v>-0.0666487683737165</v>
      </c>
      <c r="AD49" s="35">
        <v>692.78</v>
      </c>
      <c r="AE49" s="36">
        <f>AD49/BE49-1</f>
        <v>-0.0746771026726684</v>
      </c>
      <c r="AF49" s="224">
        <v>682.34</v>
      </c>
      <c r="AG49" s="36">
        <f t="shared" si="32"/>
        <v>-0.0120035330060958</v>
      </c>
      <c r="AH49" s="35">
        <v>598.01</v>
      </c>
      <c r="AI49" s="36">
        <f t="shared" si="33"/>
        <v>-0.0866729794123038</v>
      </c>
      <c r="AJ49" s="35">
        <v>580.06</v>
      </c>
      <c r="AK49" s="36">
        <f t="shared" si="34"/>
        <v>-0.140931844435888</v>
      </c>
      <c r="AL49" s="35">
        <v>657.74</v>
      </c>
      <c r="AM49" s="36">
        <f t="shared" si="35"/>
        <v>-0.0231971011049067</v>
      </c>
      <c r="AN49" s="35">
        <v>681.36</v>
      </c>
      <c r="AO49" s="36">
        <f t="shared" si="36"/>
        <v>-0.0285437280789301</v>
      </c>
      <c r="AP49" s="35">
        <v>697.5</v>
      </c>
      <c r="AQ49" s="36">
        <f t="shared" si="37"/>
        <v>0.035296562370124</v>
      </c>
      <c r="AR49" s="35">
        <v>669.9</v>
      </c>
      <c r="AS49" s="36">
        <f t="shared" si="38"/>
        <v>0.0141855782477707</v>
      </c>
      <c r="AT49" s="35">
        <f t="shared" si="39"/>
        <v>7993.46</v>
      </c>
      <c r="AU49" s="36">
        <f t="shared" si="40"/>
        <v>-0.0406957765680659</v>
      </c>
      <c r="AV49" s="44"/>
      <c r="AW49" s="38">
        <v>750.2</v>
      </c>
      <c r="AX49" s="37">
        <f>AW49/BX49-1</f>
        <v>0.148253589249089</v>
      </c>
      <c r="AY49" s="38">
        <v>652.51</v>
      </c>
      <c r="AZ49" s="37">
        <f>AY49/BY49-1</f>
        <v>-0.0606636435615058</v>
      </c>
      <c r="BA49" s="38">
        <v>706.61</v>
      </c>
      <c r="BB49" s="37">
        <f>BA49/BZ49-1</f>
        <v>-0.039331647497077</v>
      </c>
      <c r="BC49" s="38">
        <v>744.95</v>
      </c>
      <c r="BD49" s="37">
        <f>BC49/CA49-1</f>
        <v>-0.035088855499715</v>
      </c>
      <c r="BE49" s="38">
        <v>748.69</v>
      </c>
      <c r="BF49" s="37">
        <f>BE49/CB49-1</f>
        <v>0.00240999343946235</v>
      </c>
      <c r="BG49" s="38">
        <v>690.63</v>
      </c>
      <c r="BH49" s="37">
        <f>BG49/CC49-1</f>
        <v>-0.0659209867860476</v>
      </c>
      <c r="BI49" s="38">
        <v>654.76</v>
      </c>
      <c r="BJ49" s="37">
        <f>BI49/CD49-1</f>
        <v>-0.0679440276729918</v>
      </c>
      <c r="BK49" s="38">
        <v>675.22</v>
      </c>
      <c r="BL49" s="37">
        <f>BK49/CE49-1</f>
        <v>-0.0314427518145566</v>
      </c>
      <c r="BM49" s="38">
        <v>673.36</v>
      </c>
      <c r="BN49" s="37">
        <f>BM49/CF49-1</f>
        <v>-0.0840757919936884</v>
      </c>
      <c r="BO49" s="38">
        <v>701.38</v>
      </c>
      <c r="BP49" s="37">
        <f>BO49/CG49-1</f>
        <v>-0.0797228855590836</v>
      </c>
      <c r="BQ49" s="38">
        <v>673.72</v>
      </c>
      <c r="BR49" s="37">
        <f>BQ49/CH49-1</f>
        <v>-0.0817250027259839</v>
      </c>
      <c r="BS49" s="38">
        <v>660.53</v>
      </c>
      <c r="BT49" s="37">
        <f>BS49/CI49-1</f>
        <v>-0.10943777807739</v>
      </c>
      <c r="BU49" s="38">
        <f t="shared" si="41"/>
        <v>8332.56</v>
      </c>
      <c r="BV49" s="219">
        <f>BU49/CJ49-1</f>
        <v>-0.0437896983641549</v>
      </c>
      <c r="BW49" s="204"/>
      <c r="BX49" s="226">
        <v>653.34</v>
      </c>
      <c r="BY49" s="197">
        <v>694.65</v>
      </c>
      <c r="BZ49" s="197">
        <v>735.54</v>
      </c>
      <c r="CA49" s="197">
        <v>772.04</v>
      </c>
      <c r="CB49" s="197">
        <v>746.89</v>
      </c>
      <c r="CC49" s="197">
        <v>739.37</v>
      </c>
      <c r="CD49" s="197">
        <v>702.49</v>
      </c>
      <c r="CE49" s="197">
        <v>697.14</v>
      </c>
      <c r="CF49" s="197">
        <v>735.17</v>
      </c>
      <c r="CG49" s="197">
        <v>762.14</v>
      </c>
      <c r="CH49" s="197">
        <v>733.68</v>
      </c>
      <c r="CI49" s="197">
        <v>741.7</v>
      </c>
      <c r="CJ49" s="38">
        <f>BX49+BY49+BZ49+CA49+CB49+CC49+CD49+CE49+CF49+CG49+CH49+CI49</f>
        <v>8714.15</v>
      </c>
    </row>
    <row r="50" ht="27" customHeight="1" spans="1:88">
      <c r="A50" s="45"/>
      <c r="B50" s="34" t="s">
        <v>274</v>
      </c>
      <c r="C50" s="35">
        <v>6998.3</v>
      </c>
      <c r="D50" s="36">
        <f t="shared" si="22"/>
        <v>-0.144709906787398</v>
      </c>
      <c r="E50" s="35">
        <v>6288.05</v>
      </c>
      <c r="F50" s="36">
        <f t="shared" si="23"/>
        <v>-0.15155910568996</v>
      </c>
      <c r="G50" s="35">
        <v>7303.57</v>
      </c>
      <c r="H50" s="36">
        <f t="shared" si="24"/>
        <v>-0.097862485100391</v>
      </c>
      <c r="I50" s="35">
        <v>7529.18</v>
      </c>
      <c r="J50" s="36">
        <f t="shared" si="25"/>
        <v>-0.101505172576336</v>
      </c>
      <c r="K50" s="35">
        <v>7591.38</v>
      </c>
      <c r="L50" s="36">
        <f t="shared" si="26"/>
        <v>-0.0848764446137469</v>
      </c>
      <c r="M50" s="224">
        <v>7012.86</v>
      </c>
      <c r="N50" s="36">
        <f t="shared" si="27"/>
        <v>-0.135220521319651</v>
      </c>
      <c r="O50" s="35">
        <v>6305.94</v>
      </c>
      <c r="P50" s="36">
        <f t="shared" si="28"/>
        <v>0.00721637628658489</v>
      </c>
      <c r="Q50" s="175"/>
      <c r="R50" s="127"/>
      <c r="S50" s="35">
        <f t="shared" si="29"/>
        <v>49029.28</v>
      </c>
      <c r="T50" s="36">
        <f t="shared" si="30"/>
        <v>-0.189533706421093</v>
      </c>
      <c r="U50" s="38"/>
      <c r="V50" s="35">
        <v>8182.37</v>
      </c>
      <c r="W50" s="36">
        <f t="shared" si="31"/>
        <v>0.0897302034195364</v>
      </c>
      <c r="X50" s="35">
        <v>7411.3</v>
      </c>
      <c r="Y50" s="36">
        <f>X50/AW50-1</f>
        <v>-0.0129611033718579</v>
      </c>
      <c r="Z50" s="35">
        <v>8095.85</v>
      </c>
      <c r="AA50" s="36">
        <f>Z50/AY50-1</f>
        <v>0.238020598377515</v>
      </c>
      <c r="AB50" s="35">
        <v>8379.77</v>
      </c>
      <c r="AC50" s="36">
        <f>AB50/BA50-1</f>
        <v>0.234799612162079</v>
      </c>
      <c r="AD50" s="35">
        <v>8295.47</v>
      </c>
      <c r="AE50" s="36">
        <f>AD50/BC50-1</f>
        <v>0.132629627202324</v>
      </c>
      <c r="AF50" s="224">
        <v>8109.42</v>
      </c>
      <c r="AG50" s="36">
        <f t="shared" si="32"/>
        <v>0.180903812800981</v>
      </c>
      <c r="AH50" s="35">
        <v>6260.76</v>
      </c>
      <c r="AI50" s="36">
        <f t="shared" si="33"/>
        <v>-0.0243280602536751</v>
      </c>
      <c r="AJ50" s="35">
        <v>5760.21</v>
      </c>
      <c r="AK50" s="36">
        <f t="shared" si="34"/>
        <v>-0.125138590613201</v>
      </c>
      <c r="AL50" s="35">
        <v>6654.65</v>
      </c>
      <c r="AM50" s="36">
        <f t="shared" si="35"/>
        <v>0.000584895560808096</v>
      </c>
      <c r="AN50" s="35">
        <v>6976.1</v>
      </c>
      <c r="AO50" s="36">
        <f t="shared" si="36"/>
        <v>-0.128195643290164</v>
      </c>
      <c r="AP50" s="35">
        <v>7123.59</v>
      </c>
      <c r="AQ50" s="36">
        <f t="shared" si="37"/>
        <v>-0.0720118076489178</v>
      </c>
      <c r="AR50" s="35">
        <v>6903.85</v>
      </c>
      <c r="AS50" s="36">
        <f t="shared" si="38"/>
        <v>-0.108169136349485</v>
      </c>
      <c r="AT50" s="35">
        <f t="shared" si="39"/>
        <v>88153.34</v>
      </c>
      <c r="AU50" s="36">
        <f t="shared" si="40"/>
        <v>0.0315719261579293</v>
      </c>
      <c r="AV50" s="47"/>
      <c r="AW50" s="35">
        <v>7508.62</v>
      </c>
      <c r="AX50" s="36"/>
      <c r="AY50" s="35">
        <v>6539.35</v>
      </c>
      <c r="AZ50" s="36"/>
      <c r="BA50" s="35">
        <v>6786.34</v>
      </c>
      <c r="BB50" s="36"/>
      <c r="BC50" s="35">
        <v>7324.08</v>
      </c>
      <c r="BD50" s="36"/>
      <c r="BE50" s="35">
        <v>7358.56</v>
      </c>
      <c r="BF50" s="36"/>
      <c r="BG50" s="35">
        <v>6867.13</v>
      </c>
      <c r="BH50" s="36"/>
      <c r="BI50" s="35">
        <v>6416.87</v>
      </c>
      <c r="BJ50" s="36"/>
      <c r="BK50" s="35">
        <v>6584.14</v>
      </c>
      <c r="BL50" s="36"/>
      <c r="BM50" s="35">
        <v>6650.76</v>
      </c>
      <c r="BN50" s="36"/>
      <c r="BO50" s="35">
        <v>8001.91</v>
      </c>
      <c r="BP50" s="37"/>
      <c r="BQ50" s="35">
        <v>7676.38</v>
      </c>
      <c r="BR50" s="36"/>
      <c r="BS50" s="35">
        <v>7741.21</v>
      </c>
      <c r="BT50" s="36"/>
      <c r="BU50" s="35">
        <f t="shared" si="41"/>
        <v>85455.35</v>
      </c>
      <c r="BV50" s="221"/>
      <c r="BW50" s="222"/>
      <c r="BX50" s="223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7"/>
    </row>
    <row r="51" ht="27" customHeight="1" spans="1:88">
      <c r="A51" s="45"/>
      <c r="B51" s="34" t="s">
        <v>275</v>
      </c>
      <c r="C51" s="35">
        <v>526.66</v>
      </c>
      <c r="D51" s="36">
        <f t="shared" si="22"/>
        <v>-0.100602831429206</v>
      </c>
      <c r="E51" s="35">
        <v>447.49</v>
      </c>
      <c r="F51" s="36">
        <f t="shared" si="23"/>
        <v>-0.0860649878479668</v>
      </c>
      <c r="G51" s="35">
        <v>530.84</v>
      </c>
      <c r="H51" s="36">
        <f t="shared" si="24"/>
        <v>-0.0439449607376989</v>
      </c>
      <c r="I51" s="35">
        <v>541.33</v>
      </c>
      <c r="J51" s="36">
        <f t="shared" si="25"/>
        <v>-0.0241031188029566</v>
      </c>
      <c r="K51" s="35">
        <v>539.28</v>
      </c>
      <c r="L51" s="36">
        <f t="shared" si="26"/>
        <v>-0.0171499389454884</v>
      </c>
      <c r="M51" s="224">
        <v>503.53</v>
      </c>
      <c r="N51" s="36">
        <f t="shared" si="27"/>
        <v>-0.0838912742886253</v>
      </c>
      <c r="O51" s="35">
        <v>445.83</v>
      </c>
      <c r="P51" s="36">
        <f t="shared" si="28"/>
        <v>-0.0507186202491217</v>
      </c>
      <c r="Q51" s="175"/>
      <c r="R51" s="127"/>
      <c r="S51" s="35">
        <f t="shared" si="29"/>
        <v>3534.96</v>
      </c>
      <c r="T51" s="36">
        <f t="shared" si="30"/>
        <v>-0.158270708917907</v>
      </c>
      <c r="U51" s="38"/>
      <c r="V51" s="35">
        <v>585.57</v>
      </c>
      <c r="W51" s="36">
        <f t="shared" si="31"/>
        <v>-0.00890273005771536</v>
      </c>
      <c r="X51" s="35">
        <v>489.63</v>
      </c>
      <c r="Y51" s="36">
        <f>X51/AY51-1</f>
        <v>-0.0739332728098049</v>
      </c>
      <c r="Z51" s="35">
        <v>555.24</v>
      </c>
      <c r="AA51" s="36">
        <f>Z51/BA51-1</f>
        <v>-0.0521679754182314</v>
      </c>
      <c r="AB51" s="35">
        <v>554.7</v>
      </c>
      <c r="AC51" s="36">
        <f>AB51/BC51-1</f>
        <v>-0.0909388878873794</v>
      </c>
      <c r="AD51" s="35">
        <v>548.69</v>
      </c>
      <c r="AE51" s="36">
        <f>AD51/BE51-1</f>
        <v>-0.101347920795322</v>
      </c>
      <c r="AF51" s="224">
        <v>549.64</v>
      </c>
      <c r="AG51" s="36">
        <f t="shared" si="32"/>
        <v>-0.0198826655254195</v>
      </c>
      <c r="AH51" s="35">
        <v>469.65</v>
      </c>
      <c r="AI51" s="36">
        <f t="shared" si="33"/>
        <v>-0.111050121138704</v>
      </c>
      <c r="AJ51" s="35">
        <v>446.52</v>
      </c>
      <c r="AK51" s="36">
        <f t="shared" si="34"/>
        <v>-0.171038707880813</v>
      </c>
      <c r="AL51" s="35">
        <v>516.01</v>
      </c>
      <c r="AM51" s="36">
        <f t="shared" si="35"/>
        <v>-0.0463332594071117</v>
      </c>
      <c r="AN51" s="35">
        <v>523.58</v>
      </c>
      <c r="AO51" s="36">
        <f t="shared" si="36"/>
        <v>-0.0706120420335131</v>
      </c>
      <c r="AP51" s="35">
        <v>537.2</v>
      </c>
      <c r="AQ51" s="36">
        <f t="shared" si="37"/>
        <v>-0.0123365998051147</v>
      </c>
      <c r="AR51" s="35">
        <v>520.22</v>
      </c>
      <c r="AS51" s="36">
        <f t="shared" si="38"/>
        <v>-0.0372714486638537</v>
      </c>
      <c r="AT51" s="35">
        <f t="shared" si="39"/>
        <v>6296.65</v>
      </c>
      <c r="AU51" s="36">
        <f t="shared" si="40"/>
        <v>-0.0661364047590089</v>
      </c>
      <c r="AV51" s="47"/>
      <c r="AW51" s="35">
        <v>590.83</v>
      </c>
      <c r="AX51" s="36"/>
      <c r="AY51" s="35">
        <v>528.72</v>
      </c>
      <c r="AZ51" s="36"/>
      <c r="BA51" s="35">
        <v>585.8</v>
      </c>
      <c r="BB51" s="36"/>
      <c r="BC51" s="35">
        <v>610.19</v>
      </c>
      <c r="BD51" s="36"/>
      <c r="BE51" s="35">
        <v>610.57</v>
      </c>
      <c r="BF51" s="36"/>
      <c r="BG51" s="35">
        <v>560.79</v>
      </c>
      <c r="BH51" s="36"/>
      <c r="BI51" s="35">
        <v>528.32</v>
      </c>
      <c r="BJ51" s="36">
        <f>BI51/CD51-1</f>
        <v>-0.0487405246763535</v>
      </c>
      <c r="BK51" s="35">
        <v>538.65</v>
      </c>
      <c r="BL51" s="36">
        <f>BK51/CE51-1</f>
        <v>-0.0204938900203666</v>
      </c>
      <c r="BM51" s="35">
        <v>541.08</v>
      </c>
      <c r="BN51" s="36">
        <f>BM51/CF51-1</f>
        <v>-0.06974984956589</v>
      </c>
      <c r="BO51" s="35">
        <v>563.36</v>
      </c>
      <c r="BP51" s="36">
        <f>BO51/CG51-1</f>
        <v>-0.0796275118444699</v>
      </c>
      <c r="BQ51" s="35">
        <v>543.91</v>
      </c>
      <c r="BR51" s="36">
        <f>BQ51/CH51-1</f>
        <v>-0.0776496523656097</v>
      </c>
      <c r="BS51" s="35">
        <v>540.36</v>
      </c>
      <c r="BT51" s="36">
        <f>BS51/CI51-1</f>
        <v>-0.093523007498616</v>
      </c>
      <c r="BU51" s="35">
        <f t="shared" si="41"/>
        <v>6742.58</v>
      </c>
      <c r="BV51" s="221"/>
      <c r="BW51" s="222"/>
      <c r="BX51" s="227"/>
      <c r="BY51" s="49"/>
      <c r="BZ51" s="49"/>
      <c r="CA51" s="49"/>
      <c r="CB51" s="49"/>
      <c r="CC51" s="49"/>
      <c r="CD51" s="50">
        <v>555.39</v>
      </c>
      <c r="CE51" s="50">
        <v>549.92</v>
      </c>
      <c r="CF51" s="50">
        <v>581.65</v>
      </c>
      <c r="CG51" s="50">
        <v>612.1</v>
      </c>
      <c r="CH51" s="50">
        <v>589.7</v>
      </c>
      <c r="CI51" s="50">
        <v>596.11</v>
      </c>
      <c r="CJ51" s="35">
        <f>BX51+BY51+BZ51+CA51+CB51+CC51+CD51+CE51+CF51+CG51+CH51+CI51</f>
        <v>3484.87</v>
      </c>
    </row>
    <row r="52" ht="27" customHeight="1" spans="1:88">
      <c r="A52" s="29"/>
      <c r="B52" s="34" t="s">
        <v>276</v>
      </c>
      <c r="C52" s="35">
        <v>2653.61</v>
      </c>
      <c r="D52" s="36">
        <f t="shared" si="22"/>
        <v>-0.0309774908341975</v>
      </c>
      <c r="E52" s="35">
        <v>2246.95</v>
      </c>
      <c r="F52" s="36">
        <f t="shared" si="23"/>
        <v>-0.0131148405005249</v>
      </c>
      <c r="G52" s="225">
        <v>2686.33</v>
      </c>
      <c r="H52" s="36">
        <f t="shared" si="24"/>
        <v>0.0384078671186756</v>
      </c>
      <c r="I52" s="35">
        <v>2732.4</v>
      </c>
      <c r="J52" s="36">
        <f t="shared" si="25"/>
        <v>0.0458466979507162</v>
      </c>
      <c r="K52" s="35">
        <v>2720.16</v>
      </c>
      <c r="L52" s="36">
        <f t="shared" si="26"/>
        <v>0.0505590421936855</v>
      </c>
      <c r="M52" s="224">
        <v>2536.85</v>
      </c>
      <c r="N52" s="36">
        <f t="shared" si="27"/>
        <v>-0.0246635909265668</v>
      </c>
      <c r="O52" s="35">
        <v>2224.44</v>
      </c>
      <c r="P52" s="36">
        <f t="shared" si="28"/>
        <v>-0.0577960006607677</v>
      </c>
      <c r="Q52" s="175"/>
      <c r="R52" s="127"/>
      <c r="S52" s="35">
        <f t="shared" si="29"/>
        <v>17800.74</v>
      </c>
      <c r="T52" s="36">
        <f t="shared" si="30"/>
        <v>-0.110132964603761</v>
      </c>
      <c r="U52" s="38"/>
      <c r="V52" s="35">
        <v>2738.44</v>
      </c>
      <c r="W52" s="36">
        <f t="shared" si="31"/>
        <v>-0.0224081736106897</v>
      </c>
      <c r="X52" s="35">
        <v>2276.81</v>
      </c>
      <c r="Y52" s="36">
        <f>X52/AY52-1</f>
        <v>-0.0905129024526644</v>
      </c>
      <c r="Z52" s="35">
        <v>2586.97</v>
      </c>
      <c r="AA52" s="36">
        <f>Z52/BA52-1</f>
        <v>-0.0600185309666988</v>
      </c>
      <c r="AB52" s="35">
        <v>2612.62</v>
      </c>
      <c r="AC52" s="36">
        <f>AB52/BC52-1</f>
        <v>-0.0861801812515522</v>
      </c>
      <c r="AD52" s="35">
        <v>2589.25</v>
      </c>
      <c r="AE52" s="36">
        <f>AD52/BE52-1</f>
        <v>-0.0960490439433452</v>
      </c>
      <c r="AF52" s="224">
        <v>2601</v>
      </c>
      <c r="AG52" s="36">
        <f t="shared" si="32"/>
        <v>-0.0113461428815782</v>
      </c>
      <c r="AH52" s="35">
        <v>2360.89</v>
      </c>
      <c r="AI52" s="36">
        <f t="shared" si="33"/>
        <v>-0.0591289862349857</v>
      </c>
      <c r="AJ52" s="35">
        <v>2237.84</v>
      </c>
      <c r="AK52" s="36">
        <f t="shared" si="34"/>
        <v>-0.130165738984421</v>
      </c>
      <c r="AL52" s="35">
        <v>2601.87</v>
      </c>
      <c r="AM52" s="36">
        <f t="shared" si="35"/>
        <v>0.0201331493185704</v>
      </c>
      <c r="AN52" s="35">
        <v>2637.99</v>
      </c>
      <c r="AO52" s="36">
        <f t="shared" si="36"/>
        <v>-0.00291416260346977</v>
      </c>
      <c r="AP52" s="35">
        <v>2710.21</v>
      </c>
      <c r="AQ52" s="36">
        <f t="shared" si="37"/>
        <v>0.0630358893900764</v>
      </c>
      <c r="AR52" s="35">
        <v>2632.05</v>
      </c>
      <c r="AS52" s="36">
        <f t="shared" si="38"/>
        <v>0.0483623632315395</v>
      </c>
      <c r="AT52" s="35">
        <f t="shared" si="39"/>
        <v>30585.94</v>
      </c>
      <c r="AU52" s="36">
        <f t="shared" si="40"/>
        <v>-0.0366426745517701</v>
      </c>
      <c r="AV52" s="47"/>
      <c r="AW52" s="35">
        <v>2801.21</v>
      </c>
      <c r="AX52" s="36"/>
      <c r="AY52" s="35">
        <v>2503.4</v>
      </c>
      <c r="AZ52" s="36"/>
      <c r="BA52" s="35">
        <v>2752.15</v>
      </c>
      <c r="BB52" s="36"/>
      <c r="BC52" s="35">
        <v>2859.01</v>
      </c>
      <c r="BD52" s="36"/>
      <c r="BE52" s="35">
        <v>2864.37</v>
      </c>
      <c r="BF52" s="36"/>
      <c r="BG52" s="35">
        <v>2630.85</v>
      </c>
      <c r="BH52" s="36"/>
      <c r="BI52" s="35">
        <v>2509.26</v>
      </c>
      <c r="BJ52" s="36"/>
      <c r="BK52" s="35">
        <v>2572.72</v>
      </c>
      <c r="BL52" s="36"/>
      <c r="BM52" s="35">
        <v>2550.52</v>
      </c>
      <c r="BN52" s="36"/>
      <c r="BO52" s="35">
        <v>2645.7</v>
      </c>
      <c r="BP52" s="37"/>
      <c r="BQ52" s="35">
        <v>2549.5</v>
      </c>
      <c r="BR52" s="36"/>
      <c r="BS52" s="35">
        <v>2510.63</v>
      </c>
      <c r="BT52" s="36"/>
      <c r="BU52" s="35">
        <f t="shared" si="41"/>
        <v>31749.32</v>
      </c>
      <c r="BV52" s="221"/>
      <c r="BW52" s="222"/>
      <c r="BX52" s="227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7"/>
    </row>
    <row r="53" s="207" customFormat="1" ht="27" customHeight="1" spans="1:88">
      <c r="A53" s="48" t="s">
        <v>104</v>
      </c>
      <c r="B53" s="34" t="s">
        <v>273</v>
      </c>
      <c r="C53" s="35">
        <v>187.37</v>
      </c>
      <c r="D53" s="36">
        <f t="shared" si="22"/>
        <v>-0.0497514960949387</v>
      </c>
      <c r="E53" s="35">
        <v>184.55</v>
      </c>
      <c r="F53" s="36">
        <f t="shared" si="23"/>
        <v>-0.110730978653689</v>
      </c>
      <c r="G53" s="35">
        <v>183.41</v>
      </c>
      <c r="H53" s="36">
        <f t="shared" si="24"/>
        <v>-0.0344809433564962</v>
      </c>
      <c r="I53" s="35">
        <v>174.18</v>
      </c>
      <c r="J53" s="36">
        <f t="shared" si="25"/>
        <v>-0.0553205336804425</v>
      </c>
      <c r="K53" s="35">
        <v>175.78</v>
      </c>
      <c r="L53" s="36">
        <f t="shared" si="26"/>
        <v>-0.00840525751678234</v>
      </c>
      <c r="M53" s="224">
        <v>165.69</v>
      </c>
      <c r="N53" s="36">
        <f t="shared" si="27"/>
        <v>0.0187530742744713</v>
      </c>
      <c r="O53" s="35">
        <v>151</v>
      </c>
      <c r="P53" s="36">
        <f t="shared" si="28"/>
        <v>0.00868403473613899</v>
      </c>
      <c r="Q53" s="175"/>
      <c r="R53" s="127"/>
      <c r="S53" s="103">
        <f t="shared" si="29"/>
        <v>1221.98</v>
      </c>
      <c r="T53" s="104">
        <f t="shared" si="30"/>
        <v>-0.137519233212405</v>
      </c>
      <c r="U53" s="38"/>
      <c r="V53" s="35">
        <v>197.18</v>
      </c>
      <c r="W53" s="36">
        <f t="shared" si="31"/>
        <v>0.0812085321050611</v>
      </c>
      <c r="X53" s="35">
        <v>207.53</v>
      </c>
      <c r="Y53" s="36">
        <f>X53/AY53-1</f>
        <v>0.0114040645255618</v>
      </c>
      <c r="Z53" s="35">
        <v>189.96</v>
      </c>
      <c r="AA53" s="36">
        <f>Z53/BA53-1</f>
        <v>-0.0100578456407315</v>
      </c>
      <c r="AB53" s="35">
        <v>184.38</v>
      </c>
      <c r="AC53" s="36">
        <f>AB53/BC53-1</f>
        <v>0.0712293748547523</v>
      </c>
      <c r="AD53" s="35">
        <v>177.27</v>
      </c>
      <c r="AE53" s="36">
        <f>AD53/BE53-1</f>
        <v>0.0759939301972687</v>
      </c>
      <c r="AF53" s="224">
        <v>162.64</v>
      </c>
      <c r="AG53" s="36">
        <f t="shared" si="32"/>
        <v>-0.00153477807109093</v>
      </c>
      <c r="AH53" s="35">
        <v>149.7</v>
      </c>
      <c r="AI53" s="36">
        <f t="shared" si="33"/>
        <v>-0.0289939676979957</v>
      </c>
      <c r="AJ53" s="35">
        <v>148.16</v>
      </c>
      <c r="AK53" s="36">
        <f t="shared" si="34"/>
        <v>0.103201787043931</v>
      </c>
      <c r="AL53" s="35">
        <v>151.67</v>
      </c>
      <c r="AM53" s="36">
        <f t="shared" si="35"/>
        <v>0.0724791401499081</v>
      </c>
      <c r="AN53" s="35">
        <v>171.91</v>
      </c>
      <c r="AO53" s="36">
        <f t="shared" si="36"/>
        <v>0.0833753466095286</v>
      </c>
      <c r="AP53" s="35">
        <v>169.94</v>
      </c>
      <c r="AQ53" s="36">
        <f t="shared" si="37"/>
        <v>0.0293779150766249</v>
      </c>
      <c r="AR53" s="35">
        <v>173.66</v>
      </c>
      <c r="AS53" s="36">
        <f t="shared" si="38"/>
        <v>-0.0534692320270344</v>
      </c>
      <c r="AT53" s="35">
        <f t="shared" si="39"/>
        <v>2084</v>
      </c>
      <c r="AU53" s="36">
        <f t="shared" si="40"/>
        <v>0.0335558487159906</v>
      </c>
      <c r="AV53" s="44"/>
      <c r="AW53" s="38">
        <v>182.37</v>
      </c>
      <c r="AX53" s="37">
        <f>AW53/BX53-1</f>
        <v>0.231314563500101</v>
      </c>
      <c r="AY53" s="38">
        <v>205.19</v>
      </c>
      <c r="AZ53" s="37">
        <f>AY53/BY53-1</f>
        <v>0.222606208663529</v>
      </c>
      <c r="BA53" s="38">
        <v>191.89</v>
      </c>
      <c r="BB53" s="37">
        <f>BA53/BZ53-1</f>
        <v>0.0305031953171149</v>
      </c>
      <c r="BC53" s="38">
        <v>172.12</v>
      </c>
      <c r="BD53" s="37">
        <f>BC53/CA53-1</f>
        <v>-0.0437777777777778</v>
      </c>
      <c r="BE53" s="38">
        <v>164.75</v>
      </c>
      <c r="BF53" s="37">
        <f>BE53/CB53-1</f>
        <v>-0.0694193402620876</v>
      </c>
      <c r="BG53" s="38">
        <v>162.89</v>
      </c>
      <c r="BH53" s="37">
        <f>BG53/CC53-1</f>
        <v>-0.0841673226132915</v>
      </c>
      <c r="BI53" s="38">
        <v>154.17</v>
      </c>
      <c r="BJ53" s="37">
        <f>BI53/CD53-1</f>
        <v>-0.0190876121397213</v>
      </c>
      <c r="BK53" s="38">
        <v>134.3</v>
      </c>
      <c r="BL53" s="37">
        <f>BK53/CE53-1</f>
        <v>-0.0934251383826109</v>
      </c>
      <c r="BM53" s="38">
        <v>141.42</v>
      </c>
      <c r="BN53" s="37">
        <f>BM53/CF53-1</f>
        <v>-0.0322977966333653</v>
      </c>
      <c r="BO53" s="38">
        <v>158.68</v>
      </c>
      <c r="BP53" s="37">
        <f>BO53/CG53-1</f>
        <v>-0.040976671098755</v>
      </c>
      <c r="BQ53" s="38">
        <v>165.09</v>
      </c>
      <c r="BR53" s="37">
        <f>BQ53/CH53-1</f>
        <v>0.0105901077375121</v>
      </c>
      <c r="BS53" s="38">
        <v>183.47</v>
      </c>
      <c r="BT53" s="37">
        <f>BS53/CI53-1</f>
        <v>0.0719836400817995</v>
      </c>
      <c r="BU53" s="38">
        <f t="shared" si="41"/>
        <v>2016.34</v>
      </c>
      <c r="BV53" s="219">
        <f>BU53/CJ53-1</f>
        <v>0.0140158010933029</v>
      </c>
      <c r="BW53" s="204"/>
      <c r="BX53" s="226">
        <v>148.11</v>
      </c>
      <c r="BY53" s="197">
        <v>167.83</v>
      </c>
      <c r="BZ53" s="197">
        <v>186.21</v>
      </c>
      <c r="CA53" s="197">
        <v>180</v>
      </c>
      <c r="CB53" s="197">
        <v>177.04</v>
      </c>
      <c r="CC53" s="197">
        <v>177.86</v>
      </c>
      <c r="CD53" s="197">
        <v>157.17</v>
      </c>
      <c r="CE53" s="197">
        <v>148.14</v>
      </c>
      <c r="CF53" s="197">
        <v>146.14</v>
      </c>
      <c r="CG53" s="197">
        <v>165.46</v>
      </c>
      <c r="CH53" s="197">
        <v>163.36</v>
      </c>
      <c r="CI53" s="197">
        <v>171.15</v>
      </c>
      <c r="CJ53" s="38">
        <f>BX53+BY53+BZ53+CA53+CB53+CC53+CD53+CE53+CF53+CG53+CH53+CI53</f>
        <v>1988.47</v>
      </c>
    </row>
    <row r="54" ht="27" customHeight="1" spans="1:88">
      <c r="A54" s="45"/>
      <c r="B54" s="34" t="s">
        <v>274</v>
      </c>
      <c r="C54" s="35">
        <v>1360.6</v>
      </c>
      <c r="D54" s="36">
        <f t="shared" si="22"/>
        <v>-0.0408921408984851</v>
      </c>
      <c r="E54" s="35">
        <v>1321.93</v>
      </c>
      <c r="F54" s="36">
        <f t="shared" si="23"/>
        <v>-0.109013459866412</v>
      </c>
      <c r="G54" s="35">
        <v>1311.98</v>
      </c>
      <c r="H54" s="36">
        <f t="shared" si="24"/>
        <v>-0.041678840647461</v>
      </c>
      <c r="I54" s="35">
        <v>1247.74</v>
      </c>
      <c r="J54" s="36">
        <f t="shared" si="25"/>
        <v>-0.0597995629568231</v>
      </c>
      <c r="K54" s="35">
        <v>1259</v>
      </c>
      <c r="L54" s="36">
        <f t="shared" si="26"/>
        <v>-0.00458570524984181</v>
      </c>
      <c r="M54" s="224">
        <v>1176.08</v>
      </c>
      <c r="N54" s="36">
        <f t="shared" si="27"/>
        <v>0.0179426147920543</v>
      </c>
      <c r="O54" s="35">
        <v>1068.83</v>
      </c>
      <c r="P54" s="36">
        <f t="shared" si="28"/>
        <v>0.000749042629888619</v>
      </c>
      <c r="Q54" s="175"/>
      <c r="R54" s="127"/>
      <c r="S54" s="35">
        <f t="shared" si="29"/>
        <v>8746.16</v>
      </c>
      <c r="T54" s="36">
        <f t="shared" si="30"/>
        <v>-0.137803084372696</v>
      </c>
      <c r="U54" s="38"/>
      <c r="V54" s="35">
        <v>1418.61</v>
      </c>
      <c r="W54" s="36">
        <f t="shared" si="31"/>
        <v>0.0610078980434392</v>
      </c>
      <c r="X54" s="35">
        <v>1483.67</v>
      </c>
      <c r="Y54" s="36">
        <f>X54/AW54-1</f>
        <v>0.109667624005265</v>
      </c>
      <c r="Z54" s="35">
        <v>1369.04</v>
      </c>
      <c r="AA54" s="36">
        <f>Z54/AY54-1</f>
        <v>-0.079804001962669</v>
      </c>
      <c r="AB54" s="35">
        <v>1327.1</v>
      </c>
      <c r="AC54" s="36">
        <f>AB54/BA54-1</f>
        <v>-0.0762473549393029</v>
      </c>
      <c r="AD54" s="35">
        <v>1264.8</v>
      </c>
      <c r="AE54" s="36">
        <f>AD54/BC54-1</f>
        <v>-0.00476842453141968</v>
      </c>
      <c r="AF54" s="224">
        <v>1155.35</v>
      </c>
      <c r="AG54" s="36">
        <f t="shared" si="32"/>
        <v>-0.0275159085552675</v>
      </c>
      <c r="AH54" s="35">
        <v>1068.03</v>
      </c>
      <c r="AI54" s="36">
        <f t="shared" si="33"/>
        <v>-0.0511123351931483</v>
      </c>
      <c r="AJ54" s="35">
        <v>1057.44</v>
      </c>
      <c r="AK54" s="36">
        <f t="shared" si="34"/>
        <v>0.0679594000908954</v>
      </c>
      <c r="AL54" s="35">
        <v>1082.35</v>
      </c>
      <c r="AM54" s="36">
        <f t="shared" si="35"/>
        <v>0.0585123029378398</v>
      </c>
      <c r="AN54" s="35">
        <v>1235.73</v>
      </c>
      <c r="AO54" s="36">
        <f t="shared" si="36"/>
        <v>0.0676406552391484</v>
      </c>
      <c r="AP54" s="35">
        <v>1224.76</v>
      </c>
      <c r="AQ54" s="36">
        <f t="shared" si="37"/>
        <v>0.0431390585209224</v>
      </c>
      <c r="AR54" s="35">
        <v>1255.63</v>
      </c>
      <c r="AS54" s="36">
        <f t="shared" si="38"/>
        <v>-0.0453515601240799</v>
      </c>
      <c r="AT54" s="35">
        <f t="shared" si="39"/>
        <v>14942.51</v>
      </c>
      <c r="AU54" s="36">
        <f t="shared" si="40"/>
        <v>0.0155625468531346</v>
      </c>
      <c r="AV54" s="47"/>
      <c r="AW54" s="35">
        <v>1337.04</v>
      </c>
      <c r="AX54" s="36"/>
      <c r="AY54" s="35">
        <v>1487.77</v>
      </c>
      <c r="AZ54" s="36"/>
      <c r="BA54" s="35">
        <v>1436.64</v>
      </c>
      <c r="BB54" s="36"/>
      <c r="BC54" s="35">
        <v>1270.86</v>
      </c>
      <c r="BD54" s="36"/>
      <c r="BE54" s="35">
        <v>1208.12</v>
      </c>
      <c r="BF54" s="36"/>
      <c r="BG54" s="35">
        <v>1188.04</v>
      </c>
      <c r="BH54" s="36"/>
      <c r="BI54" s="35">
        <v>1125.56</v>
      </c>
      <c r="BJ54" s="36"/>
      <c r="BK54" s="35">
        <v>990.15</v>
      </c>
      <c r="BL54" s="36"/>
      <c r="BM54" s="35">
        <v>1022.52</v>
      </c>
      <c r="BN54" s="36"/>
      <c r="BO54" s="35">
        <v>1157.44</v>
      </c>
      <c r="BP54" s="37"/>
      <c r="BQ54" s="35">
        <v>1174.11</v>
      </c>
      <c r="BR54" s="36"/>
      <c r="BS54" s="35">
        <v>1315.28</v>
      </c>
      <c r="BT54" s="36"/>
      <c r="BU54" s="35">
        <f t="shared" si="41"/>
        <v>14713.53</v>
      </c>
      <c r="BV54" s="221"/>
      <c r="BW54" s="222"/>
      <c r="BX54" s="223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ht="27" customHeight="1" spans="1:88">
      <c r="A55" s="45"/>
      <c r="B55" s="34" t="s">
        <v>275</v>
      </c>
      <c r="C55" s="35">
        <v>151.15</v>
      </c>
      <c r="D55" s="36">
        <f t="shared" si="22"/>
        <v>-0.0559615264505653</v>
      </c>
      <c r="E55" s="35">
        <v>150.52</v>
      </c>
      <c r="F55" s="36">
        <f t="shared" si="23"/>
        <v>-0.114744456860554</v>
      </c>
      <c r="G55" s="35">
        <v>149.57</v>
      </c>
      <c r="H55" s="36">
        <f t="shared" si="24"/>
        <v>-0.0331609566903684</v>
      </c>
      <c r="I55" s="35">
        <v>141.68</v>
      </c>
      <c r="J55" s="36">
        <f t="shared" si="25"/>
        <v>-0.0566615620214395</v>
      </c>
      <c r="K55" s="35">
        <v>143.22</v>
      </c>
      <c r="L55" s="36">
        <f t="shared" si="26"/>
        <v>-0.0130246020260493</v>
      </c>
      <c r="M55" s="224">
        <v>135.47</v>
      </c>
      <c r="N55" s="36">
        <f t="shared" si="27"/>
        <v>0.0165841212666968</v>
      </c>
      <c r="O55" s="35">
        <v>123.52</v>
      </c>
      <c r="P55" s="36">
        <f t="shared" si="28"/>
        <v>0.0114641336390435</v>
      </c>
      <c r="Q55" s="175"/>
      <c r="R55" s="127"/>
      <c r="S55" s="35">
        <f t="shared" si="29"/>
        <v>995.13</v>
      </c>
      <c r="T55" s="36">
        <f t="shared" si="30"/>
        <v>-0.139056633156264</v>
      </c>
      <c r="U55" s="38"/>
      <c r="V55" s="35">
        <v>160.11</v>
      </c>
      <c r="W55" s="36">
        <f t="shared" si="31"/>
        <v>0.0746358816027921</v>
      </c>
      <c r="X55" s="35">
        <v>170.03</v>
      </c>
      <c r="Y55" s="36">
        <f>X55/AY55-1</f>
        <v>0.00728672985781986</v>
      </c>
      <c r="Z55" s="35">
        <v>154.7</v>
      </c>
      <c r="AA55" s="36">
        <f>Z55/BA55-1</f>
        <v>-0.000775093657150228</v>
      </c>
      <c r="AB55" s="35">
        <v>150.19</v>
      </c>
      <c r="AC55" s="36">
        <f>AB55/BC55-1</f>
        <v>0.0703392246294186</v>
      </c>
      <c r="AD55" s="35">
        <v>145.11</v>
      </c>
      <c r="AE55" s="36">
        <f>AD55/BE55-1</f>
        <v>0.07536682970209</v>
      </c>
      <c r="AF55" s="224">
        <v>133.26</v>
      </c>
      <c r="AG55" s="36">
        <f t="shared" si="32"/>
        <v>-0.00559659726886053</v>
      </c>
      <c r="AH55" s="35">
        <v>122.12</v>
      </c>
      <c r="AI55" s="36">
        <f t="shared" si="33"/>
        <v>-0.0358439917890415</v>
      </c>
      <c r="AJ55" s="35">
        <v>120.34</v>
      </c>
      <c r="AK55" s="36">
        <f t="shared" si="34"/>
        <v>0.0983935742971889</v>
      </c>
      <c r="AL55" s="35">
        <v>123.21</v>
      </c>
      <c r="AM55" s="36">
        <f t="shared" si="35"/>
        <v>0.0527170198222828</v>
      </c>
      <c r="AN55" s="35">
        <v>139.38</v>
      </c>
      <c r="AO55" s="36">
        <f t="shared" si="36"/>
        <v>0.0676369207200305</v>
      </c>
      <c r="AP55" s="35">
        <v>137.49</v>
      </c>
      <c r="AQ55" s="36">
        <f t="shared" si="37"/>
        <v>0.0132655317267301</v>
      </c>
      <c r="AR55" s="35">
        <v>140.26</v>
      </c>
      <c r="AS55" s="36">
        <f t="shared" si="38"/>
        <v>-0.0604233654876742</v>
      </c>
      <c r="AT55" s="35">
        <f t="shared" si="39"/>
        <v>1696.2</v>
      </c>
      <c r="AU55" s="36">
        <f t="shared" si="40"/>
        <v>0.0275889644142342</v>
      </c>
      <c r="AV55" s="47"/>
      <c r="AW55" s="35">
        <v>148.99</v>
      </c>
      <c r="AX55" s="36"/>
      <c r="AY55" s="35">
        <v>168.8</v>
      </c>
      <c r="AZ55" s="36"/>
      <c r="BA55" s="35">
        <v>154.82</v>
      </c>
      <c r="BB55" s="36"/>
      <c r="BC55" s="35">
        <v>140.32</v>
      </c>
      <c r="BD55" s="36"/>
      <c r="BE55" s="35">
        <v>134.94</v>
      </c>
      <c r="BF55" s="36"/>
      <c r="BG55" s="35">
        <v>134.01</v>
      </c>
      <c r="BH55" s="36"/>
      <c r="BI55" s="35">
        <v>126.66</v>
      </c>
      <c r="BJ55" s="36">
        <f>BI55/CD55-1</f>
        <v>-0.00330500472143536</v>
      </c>
      <c r="BK55" s="35">
        <v>109.56</v>
      </c>
      <c r="BL55" s="36">
        <f>BK55/CE55-1</f>
        <v>-0.0862385321100918</v>
      </c>
      <c r="BM55" s="35">
        <v>117.04</v>
      </c>
      <c r="BN55" s="36">
        <f>BM55/CF55-1</f>
        <v>-0.017626321974148</v>
      </c>
      <c r="BO55" s="35">
        <v>130.55</v>
      </c>
      <c r="BP55" s="36">
        <f>BO55/CG55-1</f>
        <v>-0.025164277180406</v>
      </c>
      <c r="BQ55" s="35">
        <v>135.69</v>
      </c>
      <c r="BR55" s="36">
        <f>BQ55/CH55-1</f>
        <v>0.0257011111951018</v>
      </c>
      <c r="BS55" s="35">
        <v>149.28</v>
      </c>
      <c r="BT55" s="36">
        <f>BS55/CI55-1</f>
        <v>0.0785347879488476</v>
      </c>
      <c r="BU55" s="35">
        <f t="shared" si="41"/>
        <v>1650.66</v>
      </c>
      <c r="BV55" s="221"/>
      <c r="BW55" s="222"/>
      <c r="BX55" s="227"/>
      <c r="BY55" s="49"/>
      <c r="BZ55" s="49"/>
      <c r="CA55" s="49"/>
      <c r="CB55" s="49"/>
      <c r="CC55" s="49"/>
      <c r="CD55" s="50">
        <v>127.08</v>
      </c>
      <c r="CE55" s="50">
        <v>119.9</v>
      </c>
      <c r="CF55" s="50">
        <v>119.14</v>
      </c>
      <c r="CG55" s="50">
        <v>133.92</v>
      </c>
      <c r="CH55" s="50">
        <v>132.29</v>
      </c>
      <c r="CI55" s="50">
        <v>138.41</v>
      </c>
      <c r="CJ55" s="35">
        <f>BX55+BY55+BZ55+CA55+CB55+CC55+CD55+CE55+CF55+CG55+CH55+CI55</f>
        <v>770.74</v>
      </c>
    </row>
    <row r="56" ht="27" customHeight="1" spans="1:88">
      <c r="A56" s="29"/>
      <c r="B56" s="34" t="s">
        <v>276</v>
      </c>
      <c r="C56" s="35">
        <v>746.69</v>
      </c>
      <c r="D56" s="36">
        <f t="shared" si="22"/>
        <v>-0.0553489195890896</v>
      </c>
      <c r="E56" s="35">
        <v>743.41</v>
      </c>
      <c r="F56" s="36">
        <f t="shared" si="23"/>
        <v>-0.114956486541186</v>
      </c>
      <c r="G56" s="225">
        <v>738.11</v>
      </c>
      <c r="H56" s="36">
        <f t="shared" si="24"/>
        <v>-0.0340265145070736</v>
      </c>
      <c r="I56" s="35">
        <v>698.48</v>
      </c>
      <c r="J56" s="36">
        <f t="shared" si="25"/>
        <v>-0.0584873360561823</v>
      </c>
      <c r="K56" s="35">
        <v>706.27</v>
      </c>
      <c r="L56" s="36">
        <f t="shared" si="26"/>
        <v>-0.0141263836736973</v>
      </c>
      <c r="M56" s="224">
        <v>667.35</v>
      </c>
      <c r="N56" s="36">
        <f t="shared" si="27"/>
        <v>0.0152898219990873</v>
      </c>
      <c r="O56" s="35">
        <v>607.76</v>
      </c>
      <c r="P56" s="36">
        <f t="shared" si="28"/>
        <v>0.00998753635230587</v>
      </c>
      <c r="Q56" s="175"/>
      <c r="R56" s="127"/>
      <c r="S56" s="35">
        <f t="shared" si="29"/>
        <v>4908.07</v>
      </c>
      <c r="T56" s="36">
        <f t="shared" si="30"/>
        <v>-0.13961132303032</v>
      </c>
      <c r="U56" s="38"/>
      <c r="V56" s="35">
        <v>790.44</v>
      </c>
      <c r="W56" s="36">
        <f t="shared" si="31"/>
        <v>0.0615347425532486</v>
      </c>
      <c r="X56" s="35">
        <v>839.97</v>
      </c>
      <c r="Y56" s="36">
        <f>X56/AY56-1</f>
        <v>-0.00522276700063951</v>
      </c>
      <c r="Z56" s="35">
        <v>764.11</v>
      </c>
      <c r="AA56" s="36">
        <f>Z56/BA56-1</f>
        <v>-0.0134278447018115</v>
      </c>
      <c r="AB56" s="35">
        <v>741.87</v>
      </c>
      <c r="AC56" s="36">
        <f>AB56/BC56-1</f>
        <v>0.0567045551662253</v>
      </c>
      <c r="AD56" s="35">
        <v>716.39</v>
      </c>
      <c r="AE56" s="36">
        <f>AD56/BE56-1</f>
        <v>0.0610670063392382</v>
      </c>
      <c r="AF56" s="224">
        <v>657.3</v>
      </c>
      <c r="AG56" s="36">
        <f t="shared" si="32"/>
        <v>-0.0196868008948546</v>
      </c>
      <c r="AH56" s="35">
        <v>601.75</v>
      </c>
      <c r="AI56" s="36">
        <f t="shared" si="33"/>
        <v>-0.0501933549049008</v>
      </c>
      <c r="AJ56" s="35">
        <v>592.65</v>
      </c>
      <c r="AK56" s="36">
        <f t="shared" si="34"/>
        <v>0.0814189004251593</v>
      </c>
      <c r="AL56" s="35">
        <v>607</v>
      </c>
      <c r="AM56" s="36">
        <f t="shared" si="35"/>
        <v>0.0365083159728152</v>
      </c>
      <c r="AN56" s="35">
        <v>687.82</v>
      </c>
      <c r="AO56" s="36">
        <f t="shared" si="36"/>
        <v>0.0530328546495609</v>
      </c>
      <c r="AP56" s="35">
        <v>678.37</v>
      </c>
      <c r="AQ56" s="36">
        <f t="shared" si="37"/>
        <v>0.0119186133237865</v>
      </c>
      <c r="AR56" s="35">
        <v>692.22</v>
      </c>
      <c r="AS56" s="36">
        <f t="shared" si="38"/>
        <v>-0.0600328612359626</v>
      </c>
      <c r="AT56" s="35">
        <f t="shared" si="39"/>
        <v>8369.89</v>
      </c>
      <c r="AU56" s="36">
        <f t="shared" si="40"/>
        <v>0.0159581570252547</v>
      </c>
      <c r="AV56" s="47"/>
      <c r="AW56" s="35">
        <v>744.62</v>
      </c>
      <c r="AX56" s="36"/>
      <c r="AY56" s="35">
        <v>844.38</v>
      </c>
      <c r="AZ56" s="36"/>
      <c r="BA56" s="35">
        <v>774.51</v>
      </c>
      <c r="BB56" s="36"/>
      <c r="BC56" s="35">
        <v>702.06</v>
      </c>
      <c r="BD56" s="36"/>
      <c r="BE56" s="35">
        <v>675.16</v>
      </c>
      <c r="BF56" s="36"/>
      <c r="BG56" s="35">
        <v>670.5</v>
      </c>
      <c r="BH56" s="36"/>
      <c r="BI56" s="35">
        <v>633.55</v>
      </c>
      <c r="BJ56" s="36"/>
      <c r="BK56" s="35">
        <v>548.03</v>
      </c>
      <c r="BL56" s="36"/>
      <c r="BM56" s="35">
        <v>585.62</v>
      </c>
      <c r="BN56" s="36"/>
      <c r="BO56" s="35">
        <v>653.18</v>
      </c>
      <c r="BP56" s="37"/>
      <c r="BQ56" s="35">
        <v>670.38</v>
      </c>
      <c r="BR56" s="36"/>
      <c r="BS56" s="35">
        <v>736.43</v>
      </c>
      <c r="BT56" s="36"/>
      <c r="BU56" s="35">
        <f t="shared" si="41"/>
        <v>8238.42</v>
      </c>
      <c r="BV56" s="221"/>
      <c r="BW56" s="222"/>
      <c r="BX56" s="227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7"/>
    </row>
    <row r="57" s="207" customFormat="1" ht="27" customHeight="1" spans="1:88">
      <c r="A57" s="48" t="s">
        <v>105</v>
      </c>
      <c r="B57" s="34" t="s">
        <v>273</v>
      </c>
      <c r="C57" s="35">
        <v>521.97</v>
      </c>
      <c r="D57" s="36">
        <f t="shared" si="22"/>
        <v>-0.00297977193284038</v>
      </c>
      <c r="E57" s="35">
        <v>381.53</v>
      </c>
      <c r="F57" s="36">
        <f t="shared" si="23"/>
        <v>-0.13442079949181</v>
      </c>
      <c r="G57" s="35">
        <v>509.07</v>
      </c>
      <c r="H57" s="36">
        <f t="shared" si="24"/>
        <v>-0.00974556489262379</v>
      </c>
      <c r="I57" s="35">
        <v>514.67</v>
      </c>
      <c r="J57" s="36">
        <f t="shared" si="25"/>
        <v>-0.0410114034433927</v>
      </c>
      <c r="K57" s="35">
        <v>531.82</v>
      </c>
      <c r="L57" s="36">
        <f t="shared" si="26"/>
        <v>-0.0101622989874924</v>
      </c>
      <c r="M57" s="224">
        <v>514.05</v>
      </c>
      <c r="N57" s="36">
        <f t="shared" si="27"/>
        <v>-0.00691613700906057</v>
      </c>
      <c r="O57" s="35">
        <v>505.93</v>
      </c>
      <c r="P57" s="36">
        <f t="shared" si="28"/>
        <v>-0.048681884848257</v>
      </c>
      <c r="Q57" s="175"/>
      <c r="R57" s="127"/>
      <c r="S57" s="103">
        <f t="shared" si="29"/>
        <v>3479.04</v>
      </c>
      <c r="T57" s="104">
        <f t="shared" si="30"/>
        <v>-0.154450204519107</v>
      </c>
      <c r="U57" s="38"/>
      <c r="V57" s="35">
        <v>523.53</v>
      </c>
      <c r="W57" s="36">
        <f t="shared" si="31"/>
        <v>-0.0445661100465372</v>
      </c>
      <c r="X57" s="35">
        <v>440.78</v>
      </c>
      <c r="Y57" s="36">
        <f>X57/AY57-1</f>
        <v>0.0422055659328966</v>
      </c>
      <c r="Z57" s="35">
        <v>514.08</v>
      </c>
      <c r="AA57" s="36">
        <f>Z57/BA57-1</f>
        <v>-0.0606636456658382</v>
      </c>
      <c r="AB57" s="35">
        <v>536.68</v>
      </c>
      <c r="AC57" s="36">
        <f>AB57/BC57-1</f>
        <v>-0.0503423990940138</v>
      </c>
      <c r="AD57" s="35">
        <v>537.28</v>
      </c>
      <c r="AE57" s="36">
        <f>AD57/BE57-1</f>
        <v>-0.0549496939421656</v>
      </c>
      <c r="AF57" s="224">
        <v>517.63</v>
      </c>
      <c r="AG57" s="36">
        <f t="shared" si="32"/>
        <v>-0.0964109904688755</v>
      </c>
      <c r="AH57" s="35">
        <v>531.82</v>
      </c>
      <c r="AI57" s="36">
        <f t="shared" si="33"/>
        <v>-0.10042456739796</v>
      </c>
      <c r="AJ57" s="35">
        <v>512.73</v>
      </c>
      <c r="AK57" s="36">
        <f t="shared" si="34"/>
        <v>-0.0832811857467235</v>
      </c>
      <c r="AL57" s="35">
        <v>507.32</v>
      </c>
      <c r="AM57" s="36">
        <f t="shared" si="35"/>
        <v>-0.042936915182614</v>
      </c>
      <c r="AN57" s="35">
        <v>518.78</v>
      </c>
      <c r="AO57" s="36">
        <f t="shared" si="36"/>
        <v>-0.0365844599613728</v>
      </c>
      <c r="AP57" s="35">
        <v>527.98</v>
      </c>
      <c r="AQ57" s="36">
        <f t="shared" si="37"/>
        <v>-0.0202634997216552</v>
      </c>
      <c r="AR57" s="35">
        <v>520.77</v>
      </c>
      <c r="AS57" s="36">
        <f t="shared" si="38"/>
        <v>-0.0401437655515621</v>
      </c>
      <c r="AT57" s="35">
        <f t="shared" si="39"/>
        <v>6189.38</v>
      </c>
      <c r="AU57" s="36">
        <f t="shared" si="40"/>
        <v>-0.0514621818861702</v>
      </c>
      <c r="AV57" s="44"/>
      <c r="AW57" s="38">
        <v>547.95</v>
      </c>
      <c r="AX57" s="37">
        <f>AW57/BX57-1</f>
        <v>0.343739271175634</v>
      </c>
      <c r="AY57" s="38">
        <v>422.93</v>
      </c>
      <c r="AZ57" s="37">
        <f>AY57/BY57-1</f>
        <v>-0.0825614438491074</v>
      </c>
      <c r="BA57" s="38">
        <v>547.28</v>
      </c>
      <c r="BB57" s="37">
        <f>BA57/BZ57-1</f>
        <v>0.0708094464771372</v>
      </c>
      <c r="BC57" s="38">
        <v>565.13</v>
      </c>
      <c r="BD57" s="37">
        <f>BC57/CA57-1</f>
        <v>0.0337302676105287</v>
      </c>
      <c r="BE57" s="38">
        <v>568.52</v>
      </c>
      <c r="BF57" s="37">
        <f>BE57/CB57-1</f>
        <v>0.00982255457468151</v>
      </c>
      <c r="BG57" s="38">
        <v>572.86</v>
      </c>
      <c r="BH57" s="37">
        <f>BG57/CC57-1</f>
        <v>0.0286771175636122</v>
      </c>
      <c r="BI57" s="38">
        <v>591.19</v>
      </c>
      <c r="BJ57" s="37">
        <f>BI57/CD57-1</f>
        <v>-0.0183644665836445</v>
      </c>
      <c r="BK57" s="38">
        <v>559.31</v>
      </c>
      <c r="BL57" s="37">
        <f>BK57/CE57-1</f>
        <v>-0.0260843824548573</v>
      </c>
      <c r="BM57" s="38">
        <v>530.08</v>
      </c>
      <c r="BN57" s="37">
        <f>BM57/CF57-1</f>
        <v>-0.0131620590151725</v>
      </c>
      <c r="BO57" s="38">
        <v>538.48</v>
      </c>
      <c r="BP57" s="37">
        <f>BO57/CG57-1</f>
        <v>-0.0366739418226054</v>
      </c>
      <c r="BQ57" s="38">
        <v>538.9</v>
      </c>
      <c r="BR57" s="37">
        <f>BQ57/CH57-1</f>
        <v>-0.0211962148319016</v>
      </c>
      <c r="BS57" s="38">
        <v>542.55</v>
      </c>
      <c r="BT57" s="37">
        <f>BS57/CI57-1</f>
        <v>0.0200992742451021</v>
      </c>
      <c r="BU57" s="38">
        <f t="shared" si="41"/>
        <v>6525.18</v>
      </c>
      <c r="BV57" s="219">
        <f>BU57/CJ57-1</f>
        <v>0.0193156948417021</v>
      </c>
      <c r="BW57" s="204"/>
      <c r="BX57" s="226">
        <v>407.78</v>
      </c>
      <c r="BY57" s="197">
        <v>460.99</v>
      </c>
      <c r="BZ57" s="197">
        <v>511.09</v>
      </c>
      <c r="CA57" s="197">
        <v>546.69</v>
      </c>
      <c r="CB57" s="197">
        <v>562.99</v>
      </c>
      <c r="CC57" s="197">
        <v>556.89</v>
      </c>
      <c r="CD57" s="197">
        <v>602.25</v>
      </c>
      <c r="CE57" s="197">
        <v>574.29</v>
      </c>
      <c r="CF57" s="197">
        <v>537.15</v>
      </c>
      <c r="CG57" s="197">
        <v>558.98</v>
      </c>
      <c r="CH57" s="197">
        <v>550.57</v>
      </c>
      <c r="CI57" s="197">
        <v>531.86</v>
      </c>
      <c r="CJ57" s="38">
        <f>BX57+BY57+BZ57+CA57+CB57+CC57+CD57+CE57+CF57+CG57+CH57+CI57</f>
        <v>6401.53</v>
      </c>
    </row>
    <row r="58" ht="27" customHeight="1" spans="1:88">
      <c r="A58" s="45"/>
      <c r="B58" s="34" t="s">
        <v>274</v>
      </c>
      <c r="C58" s="35">
        <v>4033.5</v>
      </c>
      <c r="D58" s="36">
        <f t="shared" si="22"/>
        <v>-0.305310367039315</v>
      </c>
      <c r="E58" s="35">
        <v>2950.65</v>
      </c>
      <c r="F58" s="36">
        <f t="shared" si="23"/>
        <v>-0.366617581398544</v>
      </c>
      <c r="G58" s="35">
        <v>3939.4</v>
      </c>
      <c r="H58" s="36">
        <f t="shared" si="24"/>
        <v>-0.299952197578603</v>
      </c>
      <c r="I58" s="35">
        <v>3963.47</v>
      </c>
      <c r="J58" s="36">
        <f t="shared" si="25"/>
        <v>-0.31284955911775</v>
      </c>
      <c r="K58" s="35">
        <v>4127.68</v>
      </c>
      <c r="L58" s="36">
        <f t="shared" si="26"/>
        <v>-0.277310012168326</v>
      </c>
      <c r="M58" s="224">
        <v>3936.6</v>
      </c>
      <c r="N58" s="36">
        <f t="shared" si="27"/>
        <v>-0.279245960108243</v>
      </c>
      <c r="O58" s="35">
        <v>3998.4</v>
      </c>
      <c r="P58" s="36">
        <f t="shared" si="28"/>
        <v>-0.283361233685463</v>
      </c>
      <c r="Q58" s="175"/>
      <c r="R58" s="127"/>
      <c r="S58" s="35">
        <f t="shared" si="29"/>
        <v>26949.7</v>
      </c>
      <c r="T58" s="36">
        <f t="shared" si="30"/>
        <v>-0.376218932695241</v>
      </c>
      <c r="U58" s="38"/>
      <c r="V58" s="35">
        <v>5806.19</v>
      </c>
      <c r="W58" s="36">
        <f t="shared" si="31"/>
        <v>-0.0380796018581719</v>
      </c>
      <c r="X58" s="35">
        <v>4658.56</v>
      </c>
      <c r="Y58" s="36">
        <f>X58/AW58-1</f>
        <v>-0.228209223265585</v>
      </c>
      <c r="Z58" s="35">
        <v>5627.33</v>
      </c>
      <c r="AA58" s="36">
        <f>Z58/AY58-1</f>
        <v>0.236476895695546</v>
      </c>
      <c r="AB58" s="35">
        <v>5767.98</v>
      </c>
      <c r="AC58" s="36">
        <f>AB58/BA58-1</f>
        <v>-0.0442737416282531</v>
      </c>
      <c r="AD58" s="35">
        <v>5711.55</v>
      </c>
      <c r="AE58" s="36">
        <f>AD58/BC58-1</f>
        <v>-0.103056162342037</v>
      </c>
      <c r="AF58" s="224">
        <v>5461.78</v>
      </c>
      <c r="AG58" s="36">
        <f t="shared" si="32"/>
        <v>-0.14272574594654</v>
      </c>
      <c r="AH58" s="35">
        <v>5579.38</v>
      </c>
      <c r="AI58" s="36">
        <f t="shared" si="33"/>
        <v>-0.147828477605101</v>
      </c>
      <c r="AJ58" s="35">
        <v>4591.01</v>
      </c>
      <c r="AK58" s="36">
        <f t="shared" si="34"/>
        <v>-0.253308546679093</v>
      </c>
      <c r="AL58" s="35">
        <v>4493.98</v>
      </c>
      <c r="AM58" s="36">
        <f t="shared" si="35"/>
        <v>-0.227683228415334</v>
      </c>
      <c r="AN58" s="35">
        <v>3737.5</v>
      </c>
      <c r="AO58" s="36">
        <f t="shared" si="36"/>
        <v>-0.367399270499226</v>
      </c>
      <c r="AP58" s="35">
        <v>3816.28</v>
      </c>
      <c r="AQ58" s="36">
        <f t="shared" si="37"/>
        <v>-0.362662725352171</v>
      </c>
      <c r="AR58" s="35">
        <v>3770.68</v>
      </c>
      <c r="AS58" s="36">
        <f t="shared" si="38"/>
        <v>-0.369343934918665</v>
      </c>
      <c r="AT58" s="35">
        <f t="shared" si="39"/>
        <v>59022.22</v>
      </c>
      <c r="AU58" s="36">
        <f t="shared" si="40"/>
        <v>-0.181453618235562</v>
      </c>
      <c r="AV58" s="47"/>
      <c r="AW58" s="35">
        <v>6036.04</v>
      </c>
      <c r="AX58" s="36"/>
      <c r="AY58" s="35">
        <v>4551.1</v>
      </c>
      <c r="AZ58" s="36"/>
      <c r="BA58" s="35">
        <v>6035.18</v>
      </c>
      <c r="BB58" s="36"/>
      <c r="BC58" s="35">
        <v>6367.79</v>
      </c>
      <c r="BD58" s="36"/>
      <c r="BE58" s="35">
        <v>6355.4</v>
      </c>
      <c r="BF58" s="36"/>
      <c r="BG58" s="35">
        <v>6371.1</v>
      </c>
      <c r="BH58" s="36"/>
      <c r="BI58" s="35">
        <v>6547.25</v>
      </c>
      <c r="BJ58" s="36"/>
      <c r="BK58" s="35">
        <v>6148.47</v>
      </c>
      <c r="BL58" s="36"/>
      <c r="BM58" s="35">
        <v>5818.83</v>
      </c>
      <c r="BN58" s="36"/>
      <c r="BO58" s="35">
        <v>5908.15</v>
      </c>
      <c r="BP58" s="37"/>
      <c r="BQ58" s="35">
        <v>5987.85</v>
      </c>
      <c r="BR58" s="36"/>
      <c r="BS58" s="35">
        <v>5978.98</v>
      </c>
      <c r="BT58" s="36"/>
      <c r="BU58" s="35">
        <f t="shared" si="41"/>
        <v>72106.14</v>
      </c>
      <c r="BV58" s="221"/>
      <c r="BW58" s="222"/>
      <c r="BX58" s="223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7"/>
    </row>
    <row r="59" ht="27" customHeight="1" spans="1:88">
      <c r="A59" s="45"/>
      <c r="B59" s="34" t="s">
        <v>275</v>
      </c>
      <c r="C59" s="35">
        <v>420.91</v>
      </c>
      <c r="D59" s="36">
        <f t="shared" si="22"/>
        <v>-0.0527085724574077</v>
      </c>
      <c r="E59" s="35">
        <v>305.45</v>
      </c>
      <c r="F59" s="36">
        <f t="shared" si="23"/>
        <v>-0.187070846862192</v>
      </c>
      <c r="G59" s="35">
        <v>416.35</v>
      </c>
      <c r="H59" s="36">
        <f t="shared" si="24"/>
        <v>-0.05349186141675</v>
      </c>
      <c r="I59" s="35">
        <v>420.36</v>
      </c>
      <c r="J59" s="36">
        <f t="shared" si="25"/>
        <v>-0.0840632762452608</v>
      </c>
      <c r="K59" s="35">
        <v>433.61</v>
      </c>
      <c r="L59" s="36">
        <f t="shared" si="26"/>
        <v>-0.0579020553600138</v>
      </c>
      <c r="M59" s="224">
        <v>415.93</v>
      </c>
      <c r="N59" s="36">
        <f t="shared" si="27"/>
        <v>-0.0763679161485166</v>
      </c>
      <c r="O59" s="35">
        <v>391.45</v>
      </c>
      <c r="P59" s="36">
        <f t="shared" si="28"/>
        <v>-0.125661700654441</v>
      </c>
      <c r="Q59" s="175"/>
      <c r="R59" s="127"/>
      <c r="S59" s="35">
        <f t="shared" si="29"/>
        <v>2804.06</v>
      </c>
      <c r="T59" s="36">
        <f t="shared" si="30"/>
        <v>-0.200112963084463</v>
      </c>
      <c r="U59" s="38"/>
      <c r="V59" s="35">
        <v>444.33</v>
      </c>
      <c r="W59" s="36">
        <f t="shared" si="31"/>
        <v>-0.0314543552184149</v>
      </c>
      <c r="X59" s="35">
        <v>375.74</v>
      </c>
      <c r="Y59" s="36">
        <f>X59/AY59-1</f>
        <v>0.0740645456364522</v>
      </c>
      <c r="Z59" s="35">
        <v>439.88</v>
      </c>
      <c r="AA59" s="36">
        <f>Z59/BA59-1</f>
        <v>-0.0487024221453287</v>
      </c>
      <c r="AB59" s="35">
        <v>458.94</v>
      </c>
      <c r="AC59" s="36">
        <f>AB59/BC59-1</f>
        <v>-0.0483951231649664</v>
      </c>
      <c r="AD59" s="35">
        <v>460.26</v>
      </c>
      <c r="AE59" s="36">
        <f>AD59/BE59-1</f>
        <v>-0.0537612302378653</v>
      </c>
      <c r="AF59" s="224">
        <v>450.32</v>
      </c>
      <c r="AG59" s="36">
        <f t="shared" si="32"/>
        <v>-0.0805104645227157</v>
      </c>
      <c r="AH59" s="35">
        <v>447.71</v>
      </c>
      <c r="AI59" s="36">
        <f t="shared" si="33"/>
        <v>-0.0908518631333131</v>
      </c>
      <c r="AJ59" s="35">
        <v>428.39</v>
      </c>
      <c r="AK59" s="36">
        <f t="shared" si="34"/>
        <v>-0.083167469234885</v>
      </c>
      <c r="AL59" s="35">
        <v>439.75</v>
      </c>
      <c r="AM59" s="36">
        <f t="shared" si="35"/>
        <v>-0.0232552974101551</v>
      </c>
      <c r="AN59" s="35">
        <v>456.74</v>
      </c>
      <c r="AO59" s="36">
        <f t="shared" si="36"/>
        <v>-0.013797421890182</v>
      </c>
      <c r="AP59" s="35">
        <v>464.15</v>
      </c>
      <c r="AQ59" s="36">
        <f t="shared" si="37"/>
        <v>0.00899980435207937</v>
      </c>
      <c r="AR59" s="35">
        <v>456.67</v>
      </c>
      <c r="AS59" s="36">
        <f t="shared" si="38"/>
        <v>-0.0198321564250606</v>
      </c>
      <c r="AT59" s="35">
        <f t="shared" si="39"/>
        <v>5322.88</v>
      </c>
      <c r="AU59" s="36">
        <f t="shared" si="40"/>
        <v>-0.0371753129296</v>
      </c>
      <c r="AV59" s="47"/>
      <c r="AW59" s="35">
        <v>458.76</v>
      </c>
      <c r="AX59" s="36"/>
      <c r="AY59" s="35">
        <v>349.83</v>
      </c>
      <c r="AZ59" s="36"/>
      <c r="BA59" s="35">
        <v>462.4</v>
      </c>
      <c r="BB59" s="36"/>
      <c r="BC59" s="35">
        <v>482.28</v>
      </c>
      <c r="BD59" s="36"/>
      <c r="BE59" s="35">
        <v>486.41</v>
      </c>
      <c r="BF59" s="36"/>
      <c r="BG59" s="35">
        <v>489.75</v>
      </c>
      <c r="BH59" s="36"/>
      <c r="BI59" s="35">
        <v>492.45</v>
      </c>
      <c r="BJ59" s="36">
        <f>BI59/CD59-1</f>
        <v>0.00604711025761495</v>
      </c>
      <c r="BK59" s="35">
        <v>467.25</v>
      </c>
      <c r="BL59" s="36">
        <f>BK59/CE59-1</f>
        <v>-0.0205839813863793</v>
      </c>
      <c r="BM59" s="35">
        <v>450.22</v>
      </c>
      <c r="BN59" s="36">
        <f>BM59/CF59-1</f>
        <v>-0.00517058511578572</v>
      </c>
      <c r="BO59" s="35">
        <v>463.13</v>
      </c>
      <c r="BP59" s="36">
        <f>BO59/CG59-1</f>
        <v>-0.0291996813817968</v>
      </c>
      <c r="BQ59" s="35">
        <v>460.01</v>
      </c>
      <c r="BR59" s="36">
        <f>BQ59/CH59-1</f>
        <v>-0.0175974372664175</v>
      </c>
      <c r="BS59" s="35">
        <v>465.91</v>
      </c>
      <c r="BT59" s="36">
        <f>BS59/CI59-1</f>
        <v>0.0354706078453162</v>
      </c>
      <c r="BU59" s="35">
        <f t="shared" si="41"/>
        <v>5528.4</v>
      </c>
      <c r="BV59" s="221"/>
      <c r="BW59" s="222"/>
      <c r="BX59" s="227"/>
      <c r="BY59" s="49"/>
      <c r="BZ59" s="49"/>
      <c r="CA59" s="49"/>
      <c r="CB59" s="49"/>
      <c r="CC59" s="49"/>
      <c r="CD59" s="50">
        <v>489.49</v>
      </c>
      <c r="CE59" s="50">
        <v>477.07</v>
      </c>
      <c r="CF59" s="50">
        <v>452.56</v>
      </c>
      <c r="CG59" s="50">
        <v>477.06</v>
      </c>
      <c r="CH59" s="50">
        <v>468.25</v>
      </c>
      <c r="CI59" s="50">
        <v>449.95</v>
      </c>
      <c r="CJ59" s="35">
        <f>BX59+BY59+BZ59+CA59+CB59+CC59+CD59+CE59+CF59+CG59+CH59+CI59</f>
        <v>2814.38</v>
      </c>
    </row>
    <row r="60" ht="27" customHeight="1" spans="1:88">
      <c r="A60" s="29"/>
      <c r="B60" s="34" t="s">
        <v>276</v>
      </c>
      <c r="C60" s="35">
        <v>2419.98</v>
      </c>
      <c r="D60" s="36">
        <f t="shared" si="22"/>
        <v>0.0509452070856875</v>
      </c>
      <c r="E60" s="35">
        <v>1762.61</v>
      </c>
      <c r="F60" s="36">
        <f t="shared" si="23"/>
        <v>-0.0895515449539769</v>
      </c>
      <c r="G60" s="225">
        <v>2394.16</v>
      </c>
      <c r="H60" s="36">
        <f t="shared" si="24"/>
        <v>0.0556540296480506</v>
      </c>
      <c r="I60" s="35">
        <v>2413.28</v>
      </c>
      <c r="J60" s="36">
        <f t="shared" si="25"/>
        <v>0.0352937138836813</v>
      </c>
      <c r="K60" s="35">
        <v>2501.62</v>
      </c>
      <c r="L60" s="36">
        <f t="shared" si="26"/>
        <v>0.0722300801508722</v>
      </c>
      <c r="M60" s="224">
        <v>2380.29</v>
      </c>
      <c r="N60" s="36">
        <f t="shared" si="27"/>
        <v>0.0327444225579436</v>
      </c>
      <c r="O60" s="35">
        <v>2259.37</v>
      </c>
      <c r="P60" s="36">
        <f t="shared" si="28"/>
        <v>-0.0126598320179695</v>
      </c>
      <c r="Q60" s="175"/>
      <c r="R60" s="127"/>
      <c r="S60" s="35">
        <f t="shared" si="29"/>
        <v>16131.31</v>
      </c>
      <c r="T60" s="36">
        <f t="shared" si="30"/>
        <v>-0.122993800564435</v>
      </c>
      <c r="U60" s="38"/>
      <c r="V60" s="35">
        <v>2302.67</v>
      </c>
      <c r="W60" s="36">
        <f t="shared" si="31"/>
        <v>0.000625752315066341</v>
      </c>
      <c r="X60" s="35">
        <v>1935.98</v>
      </c>
      <c r="Y60" s="36">
        <f>X60/AY60-1</f>
        <v>0.0742314948396405</v>
      </c>
      <c r="Z60" s="35">
        <v>2267.94</v>
      </c>
      <c r="AA60" s="36">
        <f>Z60/BA60-1</f>
        <v>-0.0449653011723486</v>
      </c>
      <c r="AB60" s="35">
        <v>2331.01</v>
      </c>
      <c r="AC60" s="36">
        <f>AB60/BC60-1</f>
        <v>-0.0634489519592755</v>
      </c>
      <c r="AD60" s="35">
        <v>2333.1</v>
      </c>
      <c r="AE60" s="36">
        <f>AD60/BE60-1</f>
        <v>-0.075106241278701</v>
      </c>
      <c r="AF60" s="224">
        <v>2304.82</v>
      </c>
      <c r="AG60" s="36">
        <f t="shared" si="32"/>
        <v>-0.0933793825057725</v>
      </c>
      <c r="AH60" s="35">
        <v>2288.34</v>
      </c>
      <c r="AI60" s="36">
        <f t="shared" si="33"/>
        <v>-0.106012423330859</v>
      </c>
      <c r="AJ60" s="35">
        <v>2629.75</v>
      </c>
      <c r="AK60" s="36">
        <f t="shared" si="34"/>
        <v>0.0822595447493075</v>
      </c>
      <c r="AL60" s="35">
        <v>2739.25</v>
      </c>
      <c r="AM60" s="36">
        <f t="shared" si="35"/>
        <v>0.16766058663302</v>
      </c>
      <c r="AN60" s="35">
        <v>2811.14</v>
      </c>
      <c r="AO60" s="36">
        <f t="shared" si="36"/>
        <v>0.168479638874225</v>
      </c>
      <c r="AP60" s="35">
        <v>2850.02</v>
      </c>
      <c r="AQ60" s="36">
        <f t="shared" si="37"/>
        <v>0.190768060900047</v>
      </c>
      <c r="AR60" s="35">
        <v>2813.34</v>
      </c>
      <c r="AS60" s="36">
        <f t="shared" si="38"/>
        <v>0.166267317784982</v>
      </c>
      <c r="AT60" s="35">
        <f t="shared" si="39"/>
        <v>29607.36</v>
      </c>
      <c r="AU60" s="36">
        <f t="shared" si="40"/>
        <v>0.0359885019866091</v>
      </c>
      <c r="AV60" s="47"/>
      <c r="AW60" s="35">
        <v>2301.23</v>
      </c>
      <c r="AX60" s="36"/>
      <c r="AY60" s="35">
        <v>1802.2</v>
      </c>
      <c r="AZ60" s="36"/>
      <c r="BA60" s="35">
        <v>2374.72</v>
      </c>
      <c r="BB60" s="36"/>
      <c r="BC60" s="35">
        <v>2488.93</v>
      </c>
      <c r="BD60" s="36"/>
      <c r="BE60" s="35">
        <v>2522.56</v>
      </c>
      <c r="BF60" s="36"/>
      <c r="BG60" s="35">
        <v>2542.21</v>
      </c>
      <c r="BH60" s="36"/>
      <c r="BI60" s="35">
        <v>2559.7</v>
      </c>
      <c r="BJ60" s="36"/>
      <c r="BK60" s="35">
        <v>2429.87</v>
      </c>
      <c r="BL60" s="36"/>
      <c r="BM60" s="35">
        <v>2345.93</v>
      </c>
      <c r="BN60" s="36"/>
      <c r="BO60" s="35">
        <v>2405.81</v>
      </c>
      <c r="BP60" s="37"/>
      <c r="BQ60" s="35">
        <v>2393.43</v>
      </c>
      <c r="BR60" s="36"/>
      <c r="BS60" s="35">
        <v>2412.26</v>
      </c>
      <c r="BT60" s="36"/>
      <c r="BU60" s="35">
        <f t="shared" si="41"/>
        <v>28578.85</v>
      </c>
      <c r="BV60" s="221"/>
      <c r="BW60" s="222"/>
      <c r="BX60" s="227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7"/>
    </row>
    <row r="61" s="207" customFormat="1" ht="27" customHeight="1" spans="1:88">
      <c r="A61" s="48" t="s">
        <v>106</v>
      </c>
      <c r="B61" s="34" t="s">
        <v>273</v>
      </c>
      <c r="C61" s="35">
        <v>132.08</v>
      </c>
      <c r="D61" s="36">
        <f t="shared" si="22"/>
        <v>-0.439864291772689</v>
      </c>
      <c r="E61" s="35">
        <v>127.08</v>
      </c>
      <c r="F61" s="36">
        <f t="shared" si="23"/>
        <v>-0.470058381984988</v>
      </c>
      <c r="G61" s="35">
        <v>146.39</v>
      </c>
      <c r="H61" s="36">
        <f t="shared" si="24"/>
        <v>-0.373330479452055</v>
      </c>
      <c r="I61" s="35">
        <v>157.99</v>
      </c>
      <c r="J61" s="36">
        <f t="shared" si="25"/>
        <v>-0.385969685192382</v>
      </c>
      <c r="K61" s="35">
        <v>165.97</v>
      </c>
      <c r="L61" s="36">
        <f t="shared" si="26"/>
        <v>-0.408728179551122</v>
      </c>
      <c r="M61" s="224">
        <v>150.92</v>
      </c>
      <c r="N61" s="36">
        <f t="shared" si="27"/>
        <v>-0.411365497874332</v>
      </c>
      <c r="O61" s="35">
        <v>138.55</v>
      </c>
      <c r="P61" s="36">
        <f t="shared" si="28"/>
        <v>-0.0334844785490058</v>
      </c>
      <c r="Q61" s="175"/>
      <c r="R61" s="127"/>
      <c r="S61" s="103">
        <f t="shared" si="29"/>
        <v>1018.98</v>
      </c>
      <c r="T61" s="104">
        <f t="shared" si="30"/>
        <v>-0.421471274548211</v>
      </c>
      <c r="U61" s="38"/>
      <c r="V61" s="35">
        <v>235.8</v>
      </c>
      <c r="W61" s="36">
        <f t="shared" si="31"/>
        <v>-0.293377284986515</v>
      </c>
      <c r="X61" s="35">
        <v>239.8</v>
      </c>
      <c r="Y61" s="36">
        <f>X61/AY61-1</f>
        <v>-0.31505284204513</v>
      </c>
      <c r="Z61" s="35">
        <v>233.6</v>
      </c>
      <c r="AA61" s="36">
        <f>Z61/BA61-1</f>
        <v>-0.329698708751793</v>
      </c>
      <c r="AB61" s="35">
        <v>257.3</v>
      </c>
      <c r="AC61" s="36">
        <f>AB61/BC61-1</f>
        <v>-0.251817388775807</v>
      </c>
      <c r="AD61" s="35">
        <v>280.7</v>
      </c>
      <c r="AE61" s="36">
        <f>AD61/BE61-1</f>
        <v>-0.170753323485968</v>
      </c>
      <c r="AF61" s="224">
        <v>256.39</v>
      </c>
      <c r="AG61" s="36">
        <f t="shared" si="32"/>
        <v>-0.274052890877173</v>
      </c>
      <c r="AH61" s="35">
        <v>143.35</v>
      </c>
      <c r="AI61" s="36">
        <f t="shared" si="33"/>
        <v>-0.600027901785714</v>
      </c>
      <c r="AJ61" s="35">
        <v>114.39</v>
      </c>
      <c r="AK61" s="36">
        <f t="shared" si="34"/>
        <v>-0.671952968167479</v>
      </c>
      <c r="AL61" s="35">
        <v>110.52</v>
      </c>
      <c r="AM61" s="36">
        <f t="shared" si="35"/>
        <v>-0.674366529169122</v>
      </c>
      <c r="AN61" s="35">
        <v>114.78</v>
      </c>
      <c r="AO61" s="36">
        <f t="shared" si="36"/>
        <v>-0.653022974607013</v>
      </c>
      <c r="AP61" s="35">
        <v>113.53</v>
      </c>
      <c r="AQ61" s="36">
        <f t="shared" si="37"/>
        <v>-0.614630006788866</v>
      </c>
      <c r="AR61" s="35">
        <v>119.2</v>
      </c>
      <c r="AS61" s="36">
        <f t="shared" si="38"/>
        <v>-0.608667104399212</v>
      </c>
      <c r="AT61" s="35">
        <f t="shared" si="39"/>
        <v>2219.36</v>
      </c>
      <c r="AU61" s="36">
        <f t="shared" si="40"/>
        <v>-0.451248399012951</v>
      </c>
      <c r="AV61" s="44"/>
      <c r="AW61" s="38">
        <v>333.7</v>
      </c>
      <c r="AX61" s="37">
        <f>AW61/BX61-1</f>
        <v>0.33951509312781</v>
      </c>
      <c r="AY61" s="38">
        <v>350.1</v>
      </c>
      <c r="AZ61" s="37">
        <f>AY61/BY61-1</f>
        <v>0.238853503184713</v>
      </c>
      <c r="BA61" s="38">
        <v>348.5</v>
      </c>
      <c r="BB61" s="37">
        <f>BA61/BZ61-1</f>
        <v>0.209649427282194</v>
      </c>
      <c r="BC61" s="38">
        <v>343.9</v>
      </c>
      <c r="BD61" s="37">
        <f>BC61/CA61-1</f>
        <v>0.280819366852886</v>
      </c>
      <c r="BE61" s="38">
        <v>338.5</v>
      </c>
      <c r="BF61" s="37">
        <f>BE61/CB61-1</f>
        <v>0.138887019716035</v>
      </c>
      <c r="BG61" s="38">
        <v>353.18</v>
      </c>
      <c r="BH61" s="37">
        <f>BG61/CC61-1</f>
        <v>0.0978210189300923</v>
      </c>
      <c r="BI61" s="38">
        <v>358.4</v>
      </c>
      <c r="BJ61" s="37">
        <f>BI61/CD61-1</f>
        <v>0.0889645114244044</v>
      </c>
      <c r="BK61" s="38">
        <v>348.7</v>
      </c>
      <c r="BL61" s="37">
        <f>BK61/CE61-1</f>
        <v>0.191688595741772</v>
      </c>
      <c r="BM61" s="38">
        <v>339.4</v>
      </c>
      <c r="BN61" s="37">
        <f>BM61/CF61-1</f>
        <v>0.122057656704575</v>
      </c>
      <c r="BO61" s="38">
        <v>330.8</v>
      </c>
      <c r="BP61" s="37">
        <f>BO61/CG61-1</f>
        <v>-0.0345833941339558</v>
      </c>
      <c r="BQ61" s="38">
        <v>294.6</v>
      </c>
      <c r="BR61" s="37">
        <f>BQ61/CH61-1</f>
        <v>-0.0307935254638767</v>
      </c>
      <c r="BS61" s="38">
        <v>304.6</v>
      </c>
      <c r="BT61" s="37">
        <f>BS61/CI61-1</f>
        <v>0.00747502811404388</v>
      </c>
      <c r="BU61" s="38">
        <f t="shared" si="41"/>
        <v>4044.38</v>
      </c>
      <c r="BV61" s="219">
        <f>BU61/CJ61-1</f>
        <v>0.129585717836784</v>
      </c>
      <c r="BW61" s="204"/>
      <c r="BX61" s="226">
        <v>249.12</v>
      </c>
      <c r="BY61" s="197">
        <v>282.6</v>
      </c>
      <c r="BZ61" s="197">
        <v>288.1</v>
      </c>
      <c r="CA61" s="197">
        <v>268.5</v>
      </c>
      <c r="CB61" s="197">
        <v>297.22</v>
      </c>
      <c r="CC61" s="197">
        <v>321.71</v>
      </c>
      <c r="CD61" s="197">
        <v>329.12</v>
      </c>
      <c r="CE61" s="197">
        <v>292.61</v>
      </c>
      <c r="CF61" s="197">
        <v>302.48</v>
      </c>
      <c r="CG61" s="197">
        <v>342.65</v>
      </c>
      <c r="CH61" s="197">
        <v>303.96</v>
      </c>
      <c r="CI61" s="197">
        <v>302.34</v>
      </c>
      <c r="CJ61" s="38">
        <f>BX61+BY61+BZ61+CA61+CB61+CC61+CD61+CE61+CF61+CG61+CH61+CI61</f>
        <v>3580.41</v>
      </c>
    </row>
    <row r="62" ht="27" customHeight="1" spans="1:88">
      <c r="A62" s="45"/>
      <c r="B62" s="34" t="s">
        <v>274</v>
      </c>
      <c r="C62" s="35">
        <v>1022.41</v>
      </c>
      <c r="D62" s="36">
        <f t="shared" si="22"/>
        <v>-0.444764852829369</v>
      </c>
      <c r="E62" s="35">
        <v>984.91</v>
      </c>
      <c r="F62" s="36">
        <f t="shared" si="23"/>
        <v>-0.475888676032354</v>
      </c>
      <c r="G62" s="35">
        <v>1131.08</v>
      </c>
      <c r="H62" s="36">
        <f t="shared" si="24"/>
        <v>-0.38192349726776</v>
      </c>
      <c r="I62" s="35">
        <v>1219.32</v>
      </c>
      <c r="J62" s="36">
        <f t="shared" si="25"/>
        <v>-0.393010752688172</v>
      </c>
      <c r="K62" s="35">
        <v>1279.85</v>
      </c>
      <c r="L62" s="36">
        <f t="shared" si="26"/>
        <v>-0.415486846912678</v>
      </c>
      <c r="M62" s="224">
        <v>1165.2</v>
      </c>
      <c r="N62" s="36">
        <f t="shared" si="27"/>
        <v>-0.420033049953212</v>
      </c>
      <c r="O62" s="35">
        <v>1071.48</v>
      </c>
      <c r="P62" s="36">
        <f t="shared" si="28"/>
        <v>-0.0342938000775103</v>
      </c>
      <c r="Q62" s="175"/>
      <c r="R62" s="127"/>
      <c r="S62" s="35">
        <f t="shared" si="29"/>
        <v>7874.25</v>
      </c>
      <c r="T62" s="36">
        <f t="shared" si="30"/>
        <v>-0.427601607665853</v>
      </c>
      <c r="U62" s="38"/>
      <c r="V62" s="35">
        <v>1841.4</v>
      </c>
      <c r="W62" s="36">
        <f t="shared" si="31"/>
        <v>-0.0990312163616791</v>
      </c>
      <c r="X62" s="35">
        <v>1879.2</v>
      </c>
      <c r="Y62" s="36">
        <f>X62/AW62-1</f>
        <v>-0.0805362559937371</v>
      </c>
      <c r="Z62" s="35">
        <v>1830</v>
      </c>
      <c r="AA62" s="36">
        <f>Z62/AY62-1</f>
        <v>-0.163007683863886</v>
      </c>
      <c r="AB62" s="35">
        <v>2008.8</v>
      </c>
      <c r="AC62" s="36">
        <f>AB62/BA62-1</f>
        <v>-0.0821529745042493</v>
      </c>
      <c r="AD62" s="35">
        <v>2189.6</v>
      </c>
      <c r="AE62" s="36">
        <f>AD62/BC62-1</f>
        <v>0.00898576102483761</v>
      </c>
      <c r="AF62" s="224">
        <v>2009.08</v>
      </c>
      <c r="AG62" s="36">
        <f t="shared" si="32"/>
        <v>-0.0912429889632713</v>
      </c>
      <c r="AH62" s="35">
        <v>1109.53</v>
      </c>
      <c r="AI62" s="36">
        <f t="shared" si="33"/>
        <v>-0.503921130287043</v>
      </c>
      <c r="AJ62" s="35">
        <v>888.98</v>
      </c>
      <c r="AK62" s="36">
        <f t="shared" si="34"/>
        <v>-0.588301764460705</v>
      </c>
      <c r="AL62" s="35">
        <v>859.07</v>
      </c>
      <c r="AM62" s="36">
        <f t="shared" si="35"/>
        <v>-0.587718961462782</v>
      </c>
      <c r="AN62" s="35">
        <v>892.57</v>
      </c>
      <c r="AO62" s="36">
        <f t="shared" si="36"/>
        <v>-0.573218896433011</v>
      </c>
      <c r="AP62" s="35">
        <v>881.35</v>
      </c>
      <c r="AQ62" s="36">
        <f t="shared" si="37"/>
        <v>-0.529645639876187</v>
      </c>
      <c r="AR62" s="35">
        <v>922.96</v>
      </c>
      <c r="AS62" s="36">
        <f t="shared" si="38"/>
        <v>-0.524688433412298</v>
      </c>
      <c r="AT62" s="35">
        <f t="shared" si="39"/>
        <v>17312.54</v>
      </c>
      <c r="AU62" s="36">
        <f t="shared" si="40"/>
        <v>-0.316585084713648</v>
      </c>
      <c r="AV62" s="47"/>
      <c r="AW62" s="35">
        <v>2043.8</v>
      </c>
      <c r="AX62" s="36"/>
      <c r="AY62" s="35">
        <v>2186.4</v>
      </c>
      <c r="AZ62" s="36"/>
      <c r="BA62" s="35">
        <v>2188.6</v>
      </c>
      <c r="BB62" s="36"/>
      <c r="BC62" s="35">
        <v>2170.1</v>
      </c>
      <c r="BD62" s="36"/>
      <c r="BE62" s="35">
        <v>2146.1</v>
      </c>
      <c r="BF62" s="36"/>
      <c r="BG62" s="35">
        <v>2210.8</v>
      </c>
      <c r="BH62" s="36"/>
      <c r="BI62" s="35">
        <v>2236.6</v>
      </c>
      <c r="BJ62" s="36"/>
      <c r="BK62" s="35">
        <v>2159.3</v>
      </c>
      <c r="BL62" s="36"/>
      <c r="BM62" s="35">
        <v>2083.7</v>
      </c>
      <c r="BN62" s="36"/>
      <c r="BO62" s="35">
        <v>2091.4</v>
      </c>
      <c r="BP62" s="37"/>
      <c r="BQ62" s="35">
        <v>1873.8</v>
      </c>
      <c r="BR62" s="36"/>
      <c r="BS62" s="35">
        <v>1941.8</v>
      </c>
      <c r="BT62" s="36"/>
      <c r="BU62" s="35">
        <f t="shared" si="41"/>
        <v>25332.4</v>
      </c>
      <c r="BV62" s="221"/>
      <c r="BW62" s="222"/>
      <c r="BX62" s="223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7"/>
    </row>
    <row r="63" ht="26.7" customHeight="1" spans="1:88">
      <c r="A63" s="45"/>
      <c r="B63" s="34" t="s">
        <v>275</v>
      </c>
      <c r="C63" s="35">
        <v>108.58</v>
      </c>
      <c r="D63" s="36">
        <f t="shared" si="22"/>
        <v>-0.481470869149952</v>
      </c>
      <c r="E63" s="35">
        <v>102.95</v>
      </c>
      <c r="F63" s="36">
        <f t="shared" si="23"/>
        <v>-0.516439643024894</v>
      </c>
      <c r="G63" s="35">
        <v>122.99</v>
      </c>
      <c r="H63" s="36">
        <f t="shared" si="24"/>
        <v>-0.400341296928328</v>
      </c>
      <c r="I63" s="35">
        <v>134.49</v>
      </c>
      <c r="J63" s="36">
        <f t="shared" si="25"/>
        <v>-0.40987275120667</v>
      </c>
      <c r="K63" s="35">
        <v>142.61</v>
      </c>
      <c r="L63" s="36">
        <f t="shared" si="26"/>
        <v>-0.438322174084285</v>
      </c>
      <c r="M63" s="224">
        <v>127.91</v>
      </c>
      <c r="N63" s="36">
        <f t="shared" si="27"/>
        <v>-0.451242009524218</v>
      </c>
      <c r="O63" s="35">
        <v>115.16</v>
      </c>
      <c r="P63" s="36">
        <f t="shared" si="28"/>
        <v>-0.0233228733780002</v>
      </c>
      <c r="Q63" s="175"/>
      <c r="R63" s="127"/>
      <c r="S63" s="35">
        <f t="shared" si="29"/>
        <v>854.69</v>
      </c>
      <c r="T63" s="36">
        <f t="shared" si="30"/>
        <v>-0.448491027469301</v>
      </c>
      <c r="U63" s="38"/>
      <c r="V63" s="35">
        <v>209.4</v>
      </c>
      <c r="W63" s="36">
        <f t="shared" si="31"/>
        <v>-0.31163708086785</v>
      </c>
      <c r="X63" s="35">
        <v>212.9</v>
      </c>
      <c r="Y63" s="36">
        <f>X63/AY63-1</f>
        <v>-0.329026158209896</v>
      </c>
      <c r="Z63" s="35">
        <v>205.1</v>
      </c>
      <c r="AA63" s="36">
        <f>Z63/BA63-1</f>
        <v>-0.346815286624204</v>
      </c>
      <c r="AB63" s="35">
        <v>227.9</v>
      </c>
      <c r="AC63" s="36">
        <f>AB63/BC63-1</f>
        <v>-0.263174911089557</v>
      </c>
      <c r="AD63" s="35">
        <v>253.9</v>
      </c>
      <c r="AE63" s="36">
        <f>AD63/BE63-1</f>
        <v>-0.167813831530646</v>
      </c>
      <c r="AF63" s="224">
        <v>233.09</v>
      </c>
      <c r="AG63" s="36">
        <f t="shared" si="32"/>
        <v>-0.267657408571069</v>
      </c>
      <c r="AH63" s="35">
        <v>117.91</v>
      </c>
      <c r="AI63" s="36">
        <f t="shared" si="33"/>
        <v>-0.650429884375926</v>
      </c>
      <c r="AJ63" s="35">
        <v>89.53</v>
      </c>
      <c r="AK63" s="36">
        <f t="shared" si="34"/>
        <v>-0.720131291028446</v>
      </c>
      <c r="AL63" s="35">
        <v>86.12</v>
      </c>
      <c r="AM63" s="36">
        <f t="shared" si="35"/>
        <v>-0.726776649746193</v>
      </c>
      <c r="AN63" s="35">
        <v>89.83</v>
      </c>
      <c r="AO63" s="36">
        <f t="shared" si="36"/>
        <v>-0.699263475058587</v>
      </c>
      <c r="AP63" s="35">
        <v>90.03</v>
      </c>
      <c r="AQ63" s="36">
        <f t="shared" si="37"/>
        <v>-0.665191521011528</v>
      </c>
      <c r="AR63" s="35">
        <v>97.6</v>
      </c>
      <c r="AS63" s="36">
        <f t="shared" si="38"/>
        <v>-0.651179413867048</v>
      </c>
      <c r="AT63" s="35">
        <f t="shared" si="39"/>
        <v>1913.31</v>
      </c>
      <c r="AU63" s="36">
        <f t="shared" si="40"/>
        <v>-0.481203802623659</v>
      </c>
      <c r="AV63" s="47"/>
      <c r="AW63" s="35">
        <v>304.2</v>
      </c>
      <c r="AX63" s="36"/>
      <c r="AY63" s="35">
        <v>317.3</v>
      </c>
      <c r="AZ63" s="36"/>
      <c r="BA63" s="35">
        <v>314</v>
      </c>
      <c r="BB63" s="36"/>
      <c r="BC63" s="35">
        <v>309.3</v>
      </c>
      <c r="BD63" s="36"/>
      <c r="BE63" s="35">
        <v>305.1</v>
      </c>
      <c r="BF63" s="36"/>
      <c r="BG63" s="35">
        <v>318.28</v>
      </c>
      <c r="BH63" s="36"/>
      <c r="BI63" s="35">
        <v>337.3</v>
      </c>
      <c r="BJ63" s="36">
        <f>BI63/CD63-1</f>
        <v>0.122425210475525</v>
      </c>
      <c r="BK63" s="35">
        <v>319.9</v>
      </c>
      <c r="BL63" s="36">
        <f>BK63/CE63-1</f>
        <v>0.210916799152093</v>
      </c>
      <c r="BM63" s="35">
        <v>315.2</v>
      </c>
      <c r="BN63" s="36">
        <f>BM63/CF63-1</f>
        <v>0.138358192784138</v>
      </c>
      <c r="BO63" s="35">
        <v>298.7</v>
      </c>
      <c r="BP63" s="36">
        <f>BO63/CG63-1</f>
        <v>-0.056568017434699</v>
      </c>
      <c r="BQ63" s="35">
        <v>268.9</v>
      </c>
      <c r="BR63" s="36">
        <f>BQ63/CH63-1</f>
        <v>-0.0323161076723766</v>
      </c>
      <c r="BS63" s="35">
        <v>279.8</v>
      </c>
      <c r="BT63" s="36">
        <f>BS63/CI63-1</f>
        <v>0.0210933508503031</v>
      </c>
      <c r="BU63" s="35">
        <f t="shared" si="41"/>
        <v>3687.98</v>
      </c>
      <c r="BV63" s="221"/>
      <c r="BW63" s="222"/>
      <c r="BX63" s="227"/>
      <c r="BY63" s="49"/>
      <c r="BZ63" s="49"/>
      <c r="CA63" s="49"/>
      <c r="CB63" s="49"/>
      <c r="CC63" s="49"/>
      <c r="CD63" s="50">
        <v>300.51</v>
      </c>
      <c r="CE63" s="50">
        <v>264.18</v>
      </c>
      <c r="CF63" s="50">
        <v>276.89</v>
      </c>
      <c r="CG63" s="50">
        <v>316.61</v>
      </c>
      <c r="CH63" s="50">
        <v>277.88</v>
      </c>
      <c r="CI63" s="50">
        <v>274.02</v>
      </c>
      <c r="CJ63" s="35">
        <f>BX63+BY63+BZ63+CA63+CB63+CC63+CD63+CE63+CF63+CG63+CH63+CI63</f>
        <v>1710.09</v>
      </c>
    </row>
    <row r="64" ht="27" customHeight="1" spans="1:88">
      <c r="A64" s="29"/>
      <c r="B64" s="34" t="s">
        <v>276</v>
      </c>
      <c r="C64" s="35">
        <v>754.41</v>
      </c>
      <c r="D64" s="36">
        <f t="shared" si="22"/>
        <v>-0.353048623617185</v>
      </c>
      <c r="E64" s="35">
        <v>709.79</v>
      </c>
      <c r="F64" s="36">
        <f t="shared" si="23"/>
        <v>-0.416962378840151</v>
      </c>
      <c r="G64" s="225">
        <v>864.22</v>
      </c>
      <c r="H64" s="36">
        <f t="shared" si="24"/>
        <v>-0.268911259622705</v>
      </c>
      <c r="I64" s="35">
        <v>951.06</v>
      </c>
      <c r="J64" s="36">
        <f t="shared" si="25"/>
        <v>-0.305998248686515</v>
      </c>
      <c r="K64" s="35">
        <v>1013.15</v>
      </c>
      <c r="L64" s="36">
        <f t="shared" si="26"/>
        <v>-0.338545407064047</v>
      </c>
      <c r="M64" s="224">
        <v>902.48</v>
      </c>
      <c r="N64" s="36">
        <f t="shared" si="27"/>
        <v>-0.31789460954742</v>
      </c>
      <c r="O64" s="35">
        <v>804.22</v>
      </c>
      <c r="P64" s="36">
        <f t="shared" si="28"/>
        <v>-0.01786652011968</v>
      </c>
      <c r="Q64" s="175"/>
      <c r="R64" s="127"/>
      <c r="S64" s="35">
        <f t="shared" si="29"/>
        <v>5999.33</v>
      </c>
      <c r="T64" s="36">
        <f t="shared" si="30"/>
        <v>-0.348925770333962</v>
      </c>
      <c r="U64" s="38"/>
      <c r="V64" s="35">
        <v>1166.1</v>
      </c>
      <c r="W64" s="36">
        <f t="shared" si="31"/>
        <v>-0.233333333333333</v>
      </c>
      <c r="X64" s="35">
        <v>1217.4</v>
      </c>
      <c r="Y64" s="36">
        <f>X64/AY64-1</f>
        <v>-0.232650488496691</v>
      </c>
      <c r="Z64" s="35">
        <v>1182.1</v>
      </c>
      <c r="AA64" s="36">
        <f>Z64/BA64-1</f>
        <v>-0.247070063694268</v>
      </c>
      <c r="AB64" s="35">
        <v>1370.4</v>
      </c>
      <c r="AC64" s="36">
        <f>AB64/BC64-1</f>
        <v>-0.113870029097963</v>
      </c>
      <c r="AD64" s="35">
        <v>1531.7</v>
      </c>
      <c r="AE64" s="36">
        <f>AD64/BE64-1</f>
        <v>0.0040642412323828</v>
      </c>
      <c r="AF64" s="224">
        <v>1323.08</v>
      </c>
      <c r="AG64" s="36">
        <f t="shared" si="32"/>
        <v>-0.168606258640191</v>
      </c>
      <c r="AH64" s="35">
        <v>818.85</v>
      </c>
      <c r="AI64" s="36">
        <f t="shared" si="33"/>
        <v>-0.514467832789801</v>
      </c>
      <c r="AJ64" s="35">
        <v>604.88</v>
      </c>
      <c r="AK64" s="36">
        <f t="shared" si="34"/>
        <v>-0.621831822444514</v>
      </c>
      <c r="AL64" s="35">
        <v>581.67</v>
      </c>
      <c r="AM64" s="36">
        <f t="shared" si="35"/>
        <v>-0.630920050761421</v>
      </c>
      <c r="AN64" s="35">
        <v>602.37</v>
      </c>
      <c r="AO64" s="36">
        <f t="shared" si="36"/>
        <v>-0.596672246401071</v>
      </c>
      <c r="AP64" s="35">
        <v>613.15</v>
      </c>
      <c r="AQ64" s="36">
        <f t="shared" si="37"/>
        <v>-0.543956861286724</v>
      </c>
      <c r="AR64" s="35">
        <v>676.86</v>
      </c>
      <c r="AS64" s="36">
        <f t="shared" si="38"/>
        <v>-0.516182987848463</v>
      </c>
      <c r="AT64" s="35">
        <f t="shared" si="39"/>
        <v>11688.56</v>
      </c>
      <c r="AU64" s="36">
        <f t="shared" si="40"/>
        <v>-0.366126714353115</v>
      </c>
      <c r="AV64" s="47"/>
      <c r="AW64" s="35">
        <v>1521</v>
      </c>
      <c r="AX64" s="36"/>
      <c r="AY64" s="35">
        <v>1586.5</v>
      </c>
      <c r="AZ64" s="36"/>
      <c r="BA64" s="35">
        <v>1570</v>
      </c>
      <c r="BB64" s="36"/>
      <c r="BC64" s="35">
        <v>1546.5</v>
      </c>
      <c r="BD64" s="36"/>
      <c r="BE64" s="35">
        <v>1525.5</v>
      </c>
      <c r="BF64" s="36"/>
      <c r="BG64" s="35">
        <v>1591.4</v>
      </c>
      <c r="BH64" s="36"/>
      <c r="BI64" s="35">
        <v>1686.5</v>
      </c>
      <c r="BJ64" s="36"/>
      <c r="BK64" s="35">
        <v>1599.5</v>
      </c>
      <c r="BL64" s="36"/>
      <c r="BM64" s="35">
        <v>1576</v>
      </c>
      <c r="BN64" s="36"/>
      <c r="BO64" s="35">
        <v>1493.5</v>
      </c>
      <c r="BP64" s="37"/>
      <c r="BQ64" s="35">
        <v>1344.5</v>
      </c>
      <c r="BR64" s="36"/>
      <c r="BS64" s="35">
        <v>1399</v>
      </c>
      <c r="BT64" s="36"/>
      <c r="BU64" s="35">
        <f t="shared" si="41"/>
        <v>18439.9</v>
      </c>
      <c r="BV64" s="221"/>
      <c r="BW64" s="222"/>
      <c r="BX64" s="227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205" customFormat="1" ht="27" customHeight="1" spans="1:88">
      <c r="A65" s="48" t="s">
        <v>108</v>
      </c>
      <c r="B65" s="34" t="s">
        <v>273</v>
      </c>
      <c r="C65" s="35">
        <v>200.07</v>
      </c>
      <c r="D65" s="36">
        <f t="shared" si="22"/>
        <v>-0.0256172989821264</v>
      </c>
      <c r="E65" s="35">
        <v>199.84</v>
      </c>
      <c r="F65" s="36">
        <f t="shared" si="23"/>
        <v>0.0294663094992789</v>
      </c>
      <c r="G65" s="35">
        <v>182.46</v>
      </c>
      <c r="H65" s="36">
        <f t="shared" si="24"/>
        <v>0.063596619061498</v>
      </c>
      <c r="I65" s="35">
        <v>181.12</v>
      </c>
      <c r="J65" s="36">
        <f t="shared" si="25"/>
        <v>-0.0496379473187113</v>
      </c>
      <c r="K65" s="35">
        <v>195.65</v>
      </c>
      <c r="L65" s="36">
        <f t="shared" si="26"/>
        <v>-0.0295138888888888</v>
      </c>
      <c r="M65" s="224">
        <v>205.06</v>
      </c>
      <c r="N65" s="36">
        <f t="shared" si="27"/>
        <v>-0.0867144702266958</v>
      </c>
      <c r="O65" s="35">
        <v>215.68</v>
      </c>
      <c r="P65" s="36">
        <f t="shared" si="28"/>
        <v>-0.0998330550918196</v>
      </c>
      <c r="Q65" s="175"/>
      <c r="R65" s="127"/>
      <c r="S65" s="103">
        <f t="shared" si="29"/>
        <v>1379.88</v>
      </c>
      <c r="T65" s="104">
        <f t="shared" si="30"/>
        <v>-0.165034914257361</v>
      </c>
      <c r="U65" s="38"/>
      <c r="V65" s="35">
        <v>205.33</v>
      </c>
      <c r="W65" s="36">
        <f t="shared" si="31"/>
        <v>0.0354513363590518</v>
      </c>
      <c r="X65" s="35">
        <v>194.12</v>
      </c>
      <c r="Y65" s="36">
        <f>X65/AY65-1</f>
        <v>0.0375200427578835</v>
      </c>
      <c r="Z65" s="35">
        <v>171.55</v>
      </c>
      <c r="AA65" s="36">
        <f>Z65/BA65-1</f>
        <v>0.070848938826467</v>
      </c>
      <c r="AB65" s="35">
        <v>190.58</v>
      </c>
      <c r="AC65" s="36">
        <f>AB65/BC65-1</f>
        <v>0.0506063947078281</v>
      </c>
      <c r="AD65" s="35">
        <v>201.6</v>
      </c>
      <c r="AE65" s="36">
        <f>AD65/BE65-1</f>
        <v>0.0254323499491353</v>
      </c>
      <c r="AF65" s="224">
        <v>224.53</v>
      </c>
      <c r="AG65" s="36">
        <f t="shared" si="32"/>
        <v>0.0109410175596578</v>
      </c>
      <c r="AH65" s="35">
        <v>239.6</v>
      </c>
      <c r="AI65" s="36">
        <f t="shared" si="33"/>
        <v>0.0126796280642434</v>
      </c>
      <c r="AJ65" s="35">
        <v>225.31</v>
      </c>
      <c r="AK65" s="36">
        <f t="shared" si="34"/>
        <v>0.00629745422063421</v>
      </c>
      <c r="AL65" s="35">
        <v>217.49</v>
      </c>
      <c r="AM65" s="36">
        <f t="shared" si="35"/>
        <v>0.00550161812297723</v>
      </c>
      <c r="AN65" s="35">
        <v>239.16</v>
      </c>
      <c r="AO65" s="36">
        <f t="shared" si="36"/>
        <v>0.004873949579832</v>
      </c>
      <c r="AP65" s="35">
        <v>212.67</v>
      </c>
      <c r="AQ65" s="36">
        <f t="shared" si="37"/>
        <v>0.0103087885985749</v>
      </c>
      <c r="AR65" s="35">
        <v>211.94</v>
      </c>
      <c r="AS65" s="36">
        <f t="shared" si="38"/>
        <v>0.00350378787878802</v>
      </c>
      <c r="AT65" s="35">
        <f t="shared" si="39"/>
        <v>2533.88</v>
      </c>
      <c r="AU65" s="36">
        <f t="shared" si="40"/>
        <v>0.0208202401095803</v>
      </c>
      <c r="AV65" s="44"/>
      <c r="AW65" s="38">
        <v>198.3</v>
      </c>
      <c r="AX65" s="37">
        <f>AW65/BX65-1</f>
        <v>-0.0982264665757162</v>
      </c>
      <c r="AY65" s="38">
        <v>187.1</v>
      </c>
      <c r="AZ65" s="37">
        <f>AY65/BY65-1</f>
        <v>-0.022976501305483</v>
      </c>
      <c r="BA65" s="38">
        <v>160.2</v>
      </c>
      <c r="BB65" s="37">
        <f>BA65/BZ65-1</f>
        <v>-0.0201834862385322</v>
      </c>
      <c r="BC65" s="38">
        <v>181.4</v>
      </c>
      <c r="BD65" s="37">
        <f>BC65/CA65-1</f>
        <v>0.0324416619237338</v>
      </c>
      <c r="BE65" s="38">
        <v>196.6</v>
      </c>
      <c r="BF65" s="37">
        <f>BE65/CB65-1</f>
        <v>0.0843905129619413</v>
      </c>
      <c r="BG65" s="38">
        <v>222.1</v>
      </c>
      <c r="BH65" s="37">
        <f>BG65/CC65-1</f>
        <v>0.0471475719000471</v>
      </c>
      <c r="BI65" s="38">
        <v>236.6</v>
      </c>
      <c r="BJ65" s="37">
        <f>BI65/CD65-1</f>
        <v>0.0590868397493285</v>
      </c>
      <c r="BK65" s="38">
        <v>223.9</v>
      </c>
      <c r="BL65" s="37">
        <f>BK65/CE65-1</f>
        <v>0.1002457002457</v>
      </c>
      <c r="BM65" s="38">
        <v>216.3</v>
      </c>
      <c r="BN65" s="37">
        <f>BM65/CF65-1</f>
        <v>0.0295097572584484</v>
      </c>
      <c r="BO65" s="38">
        <v>238</v>
      </c>
      <c r="BP65" s="37">
        <f>BO65/CG65-1</f>
        <v>0.0823101409731697</v>
      </c>
      <c r="BQ65" s="38">
        <v>210.5</v>
      </c>
      <c r="BR65" s="37">
        <f>BQ65/CH65-1</f>
        <v>0.0441468253968254</v>
      </c>
      <c r="BS65" s="38">
        <v>211.2</v>
      </c>
      <c r="BT65" s="37">
        <f>BS65/CI65-1</f>
        <v>0.0439940682155213</v>
      </c>
      <c r="BU65" s="38">
        <f t="shared" si="41"/>
        <v>2482.2</v>
      </c>
      <c r="BV65" s="219">
        <f>BU65/CJ65-1</f>
        <v>0.0321856287425148</v>
      </c>
      <c r="BW65" s="204"/>
      <c r="BX65" s="226">
        <v>219.9</v>
      </c>
      <c r="BY65" s="197">
        <v>191.5</v>
      </c>
      <c r="BZ65" s="197">
        <v>163.5</v>
      </c>
      <c r="CA65" s="197">
        <v>175.7</v>
      </c>
      <c r="CB65" s="197">
        <v>181.3</v>
      </c>
      <c r="CC65" s="197">
        <v>212.1</v>
      </c>
      <c r="CD65" s="197">
        <v>223.4</v>
      </c>
      <c r="CE65" s="197">
        <v>203.5</v>
      </c>
      <c r="CF65" s="197">
        <v>210.1</v>
      </c>
      <c r="CG65" s="197">
        <v>219.9</v>
      </c>
      <c r="CH65" s="197">
        <v>201.6</v>
      </c>
      <c r="CI65" s="197">
        <v>202.3</v>
      </c>
      <c r="CJ65" s="38">
        <f>BX65+BY65+BZ65+CA65+CB65+CC65+CD65+CE65+CF65+CG65+CH65+CI65</f>
        <v>2404.8</v>
      </c>
    </row>
    <row r="66" s="206" customFormat="1" ht="27" customHeight="1" spans="1:88">
      <c r="A66" s="45"/>
      <c r="B66" s="34" t="s">
        <v>274</v>
      </c>
      <c r="C66" s="35">
        <v>2060.72</v>
      </c>
      <c r="D66" s="36">
        <f t="shared" si="22"/>
        <v>-0.0256182325405457</v>
      </c>
      <c r="E66" s="35">
        <v>2058.35</v>
      </c>
      <c r="F66" s="36">
        <f t="shared" si="23"/>
        <v>0.0294632497099188</v>
      </c>
      <c r="G66" s="35">
        <v>1879.34</v>
      </c>
      <c r="H66" s="36">
        <f t="shared" si="24"/>
        <v>0.0635947412802706</v>
      </c>
      <c r="I66" s="35">
        <v>1865.54</v>
      </c>
      <c r="J66" s="36">
        <f t="shared" si="25"/>
        <v>-0.0496339730102855</v>
      </c>
      <c r="K66" s="35">
        <v>2015.2</v>
      </c>
      <c r="L66" s="36">
        <f t="shared" si="26"/>
        <v>-0.0295114809677917</v>
      </c>
      <c r="M66" s="224">
        <v>2112.12</v>
      </c>
      <c r="N66" s="36">
        <f t="shared" si="27"/>
        <v>-0.0867140003286259</v>
      </c>
      <c r="O66" s="35">
        <v>2221.5</v>
      </c>
      <c r="P66" s="36">
        <f t="shared" si="28"/>
        <v>-0.099834675916171</v>
      </c>
      <c r="Q66" s="175"/>
      <c r="R66" s="127"/>
      <c r="S66" s="35">
        <f t="shared" si="29"/>
        <v>14212.77</v>
      </c>
      <c r="T66" s="36">
        <f t="shared" si="30"/>
        <v>-0.165034757980706</v>
      </c>
      <c r="U66" s="38"/>
      <c r="V66" s="35">
        <v>2114.9</v>
      </c>
      <c r="W66" s="36">
        <f t="shared" si="31"/>
        <v>0.0354518259575323</v>
      </c>
      <c r="X66" s="35">
        <v>1999.44</v>
      </c>
      <c r="Y66" s="36">
        <f>X66/AW66-1</f>
        <v>-0.0210772145763259</v>
      </c>
      <c r="Z66" s="35">
        <v>1766.97</v>
      </c>
      <c r="AA66" s="36">
        <f>Z66/AY66-1</f>
        <v>-0.083108041491752</v>
      </c>
      <c r="AB66" s="35">
        <v>1962.97</v>
      </c>
      <c r="AC66" s="36">
        <f>AB66/BA66-1</f>
        <v>0.189635528405028</v>
      </c>
      <c r="AD66" s="35">
        <v>2076.48</v>
      </c>
      <c r="AE66" s="36">
        <f>AD66/BC66-1</f>
        <v>0.11135611907387</v>
      </c>
      <c r="AF66" s="224">
        <v>2312.66</v>
      </c>
      <c r="AG66" s="36">
        <f t="shared" si="32"/>
        <v>0.0109414546932851</v>
      </c>
      <c r="AH66" s="35">
        <v>2467.88</v>
      </c>
      <c r="AI66" s="36">
        <f t="shared" si="33"/>
        <v>0.0126796280642434</v>
      </c>
      <c r="AJ66" s="35">
        <v>2320.69</v>
      </c>
      <c r="AK66" s="36">
        <f t="shared" si="34"/>
        <v>0.00629615336250144</v>
      </c>
      <c r="AL66" s="35">
        <v>2240.15</v>
      </c>
      <c r="AM66" s="36">
        <f t="shared" si="35"/>
        <v>0.00550296468856182</v>
      </c>
      <c r="AN66" s="35">
        <v>2463.35</v>
      </c>
      <c r="AO66" s="36">
        <f t="shared" si="36"/>
        <v>0.00487476544015664</v>
      </c>
      <c r="AP66" s="35">
        <v>2190.5</v>
      </c>
      <c r="AQ66" s="36">
        <f t="shared" si="37"/>
        <v>0.0103083273758735</v>
      </c>
      <c r="AR66" s="35">
        <v>2182.98</v>
      </c>
      <c r="AS66" s="36">
        <f t="shared" si="38"/>
        <v>0.00350286849073256</v>
      </c>
      <c r="AT66" s="35">
        <f t="shared" si="39"/>
        <v>26098.97</v>
      </c>
      <c r="AU66" s="36">
        <f t="shared" si="40"/>
        <v>0.0208204747902148</v>
      </c>
      <c r="AV66" s="47"/>
      <c r="AW66" s="35">
        <v>2042.49</v>
      </c>
      <c r="AX66" s="36"/>
      <c r="AY66" s="35">
        <v>1927.13</v>
      </c>
      <c r="AZ66" s="36"/>
      <c r="BA66" s="35">
        <v>1650.06</v>
      </c>
      <c r="BB66" s="36"/>
      <c r="BC66" s="35">
        <v>1868.42</v>
      </c>
      <c r="BD66" s="36"/>
      <c r="BE66" s="35">
        <v>2024.98</v>
      </c>
      <c r="BF66" s="36"/>
      <c r="BG66" s="35">
        <v>2287.63</v>
      </c>
      <c r="BH66" s="36"/>
      <c r="BI66" s="35">
        <v>2436.98</v>
      </c>
      <c r="BJ66" s="36"/>
      <c r="BK66" s="35">
        <v>2306.17</v>
      </c>
      <c r="BL66" s="36"/>
      <c r="BM66" s="35">
        <v>2227.89</v>
      </c>
      <c r="BN66" s="36"/>
      <c r="BO66" s="35">
        <v>2451.4</v>
      </c>
      <c r="BP66" s="37"/>
      <c r="BQ66" s="35">
        <v>2168.15</v>
      </c>
      <c r="BR66" s="36"/>
      <c r="BS66" s="35">
        <v>2175.36</v>
      </c>
      <c r="BT66" s="36"/>
      <c r="BU66" s="35">
        <f t="shared" si="41"/>
        <v>25566.66</v>
      </c>
      <c r="BV66" s="221"/>
      <c r="BW66" s="222"/>
      <c r="BX66" s="223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s="206" customFormat="1" ht="27" customHeight="1" spans="1:88">
      <c r="A67" s="45"/>
      <c r="B67" s="34" t="s">
        <v>275</v>
      </c>
      <c r="C67" s="35">
        <v>75.92</v>
      </c>
      <c r="D67" s="36">
        <f t="shared" si="22"/>
        <v>-0.0954366734183248</v>
      </c>
      <c r="E67" s="35">
        <v>70.85</v>
      </c>
      <c r="F67" s="36">
        <f t="shared" si="23"/>
        <v>-0.0990590030518821</v>
      </c>
      <c r="G67" s="35">
        <v>64.25</v>
      </c>
      <c r="H67" s="36">
        <f t="shared" si="24"/>
        <v>-0.068975510795537</v>
      </c>
      <c r="I67" s="35">
        <v>62.31</v>
      </c>
      <c r="J67" s="36">
        <f t="shared" si="25"/>
        <v>0.0921998247151623</v>
      </c>
      <c r="K67" s="35">
        <v>68.46</v>
      </c>
      <c r="L67" s="36">
        <f t="shared" si="26"/>
        <v>0.0498389817512652</v>
      </c>
      <c r="M67" s="224">
        <v>70.14</v>
      </c>
      <c r="N67" s="36">
        <f t="shared" si="27"/>
        <v>-0.0536967080410147</v>
      </c>
      <c r="O67" s="35">
        <v>76.36</v>
      </c>
      <c r="P67" s="36">
        <f t="shared" si="28"/>
        <v>-0.0986779981114259</v>
      </c>
      <c r="Q67" s="175"/>
      <c r="R67" s="127"/>
      <c r="S67" s="35">
        <f t="shared" si="29"/>
        <v>488.29</v>
      </c>
      <c r="T67" s="36">
        <f t="shared" si="30"/>
        <v>-0.173678332092331</v>
      </c>
      <c r="U67" s="38"/>
      <c r="V67" s="35">
        <v>83.93</v>
      </c>
      <c r="W67" s="36">
        <f t="shared" si="31"/>
        <v>0.148153214774282</v>
      </c>
      <c r="X67" s="35">
        <v>78.64</v>
      </c>
      <c r="Y67" s="36">
        <f>X67/AY67-1</f>
        <v>-0.049093107617896</v>
      </c>
      <c r="Z67" s="35">
        <v>69.01</v>
      </c>
      <c r="AA67" s="36">
        <f>Z67/BA67-1</f>
        <v>0.139531043593131</v>
      </c>
      <c r="AB67" s="35">
        <v>57.05</v>
      </c>
      <c r="AC67" s="36">
        <f>AB67/BC67-1</f>
        <v>0.00812864463686158</v>
      </c>
      <c r="AD67" s="35">
        <v>65.21</v>
      </c>
      <c r="AE67" s="36">
        <f>AD67/BE67-1</f>
        <v>-0.0552013909011881</v>
      </c>
      <c r="AF67" s="224">
        <v>74.12</v>
      </c>
      <c r="AG67" s="36">
        <f t="shared" si="32"/>
        <v>-0.106449668474985</v>
      </c>
      <c r="AH67" s="35">
        <v>84.72</v>
      </c>
      <c r="AI67" s="36">
        <f t="shared" si="33"/>
        <v>-0.144155975351046</v>
      </c>
      <c r="AJ67" s="35">
        <v>78.24</v>
      </c>
      <c r="AK67" s="36">
        <f t="shared" si="34"/>
        <v>-0.11222058322932</v>
      </c>
      <c r="AL67" s="35">
        <v>76.25</v>
      </c>
      <c r="AM67" s="36">
        <f t="shared" si="35"/>
        <v>-0.131054131054131</v>
      </c>
      <c r="AN67" s="35">
        <v>86.09</v>
      </c>
      <c r="AO67" s="36">
        <f t="shared" si="36"/>
        <v>-0.138841652495749</v>
      </c>
      <c r="AP67" s="35">
        <v>73.45</v>
      </c>
      <c r="AQ67" s="36">
        <f t="shared" si="37"/>
        <v>-0.138618505922364</v>
      </c>
      <c r="AR67" s="35">
        <v>74.36</v>
      </c>
      <c r="AS67" s="36">
        <f t="shared" si="38"/>
        <v>-0.145581983224176</v>
      </c>
      <c r="AT67" s="35">
        <f t="shared" si="39"/>
        <v>901.07</v>
      </c>
      <c r="AU67" s="36">
        <f t="shared" si="40"/>
        <v>-0.0730304713700799</v>
      </c>
      <c r="AV67" s="47"/>
      <c r="AW67" s="35">
        <v>73.1</v>
      </c>
      <c r="AX67" s="36"/>
      <c r="AY67" s="35">
        <v>82.7</v>
      </c>
      <c r="AZ67" s="36"/>
      <c r="BA67" s="35">
        <v>60.56</v>
      </c>
      <c r="BB67" s="36"/>
      <c r="BC67" s="35">
        <v>56.59</v>
      </c>
      <c r="BD67" s="36"/>
      <c r="BE67" s="35">
        <v>69.02</v>
      </c>
      <c r="BF67" s="36"/>
      <c r="BG67" s="35">
        <v>82.95</v>
      </c>
      <c r="BH67" s="36"/>
      <c r="BI67" s="35">
        <v>98.99</v>
      </c>
      <c r="BJ67" s="36">
        <f>BI67/CD67-1</f>
        <v>-0.144425237683665</v>
      </c>
      <c r="BK67" s="35">
        <v>88.13</v>
      </c>
      <c r="BL67" s="36">
        <f>BK67/CE67-1</f>
        <v>-0.112487411883182</v>
      </c>
      <c r="BM67" s="35">
        <v>87.75</v>
      </c>
      <c r="BN67" s="36">
        <f>BM67/CF67-1</f>
        <v>-0.14390243902439</v>
      </c>
      <c r="BO67" s="35">
        <v>99.97</v>
      </c>
      <c r="BP67" s="36">
        <f>BO67/CG67-1</f>
        <v>-0.0674440298507463</v>
      </c>
      <c r="BQ67" s="35">
        <v>85.27</v>
      </c>
      <c r="BR67" s="36">
        <f>BQ67/CH67-1</f>
        <v>-0.119929817318609</v>
      </c>
      <c r="BS67" s="35">
        <v>87.03</v>
      </c>
      <c r="BT67" s="36">
        <f>BS67/CI67-1</f>
        <v>-0.10921187308086</v>
      </c>
      <c r="BU67" s="35">
        <f t="shared" si="41"/>
        <v>972.06</v>
      </c>
      <c r="BV67" s="221"/>
      <c r="BW67" s="222"/>
      <c r="BX67" s="227"/>
      <c r="BY67" s="49"/>
      <c r="BZ67" s="49"/>
      <c r="CA67" s="49"/>
      <c r="CB67" s="49"/>
      <c r="CC67" s="49"/>
      <c r="CD67" s="50">
        <v>115.7</v>
      </c>
      <c r="CE67" s="50">
        <v>99.3</v>
      </c>
      <c r="CF67" s="50">
        <v>102.5</v>
      </c>
      <c r="CG67" s="50">
        <v>107.2</v>
      </c>
      <c r="CH67" s="50">
        <v>96.89</v>
      </c>
      <c r="CI67" s="50">
        <v>97.7</v>
      </c>
      <c r="CJ67" s="35">
        <f>BX67+BY67+BZ67+CA67+CB67+CC67+CD67+CE67+CF67+CG67+CH67+CI67</f>
        <v>619.29</v>
      </c>
    </row>
    <row r="68" s="206" customFormat="1" ht="27" customHeight="1" spans="1:88">
      <c r="A68" s="29"/>
      <c r="B68" s="34" t="s">
        <v>276</v>
      </c>
      <c r="C68" s="35">
        <v>296.09</v>
      </c>
      <c r="D68" s="36">
        <f t="shared" si="22"/>
        <v>-0.0954388537561482</v>
      </c>
      <c r="E68" s="35">
        <v>276.32</v>
      </c>
      <c r="F68" s="36">
        <f t="shared" si="23"/>
        <v>-0.0990544506031953</v>
      </c>
      <c r="G68" s="225">
        <v>250.58</v>
      </c>
      <c r="H68" s="36">
        <f t="shared" si="24"/>
        <v>-0.0689603923608529</v>
      </c>
      <c r="I68" s="35">
        <v>243.01</v>
      </c>
      <c r="J68" s="36">
        <f t="shared" si="25"/>
        <v>0.0921797752808988</v>
      </c>
      <c r="K68" s="35">
        <v>266.99</v>
      </c>
      <c r="L68" s="36">
        <f t="shared" si="26"/>
        <v>0.0498191255111671</v>
      </c>
      <c r="M68" s="224">
        <v>273.55</v>
      </c>
      <c r="N68" s="36">
        <f t="shared" si="27"/>
        <v>-0.0536894177880789</v>
      </c>
      <c r="O68" s="35">
        <v>297.8</v>
      </c>
      <c r="P68" s="36">
        <f t="shared" si="28"/>
        <v>-0.0986955600617415</v>
      </c>
      <c r="Q68" s="175"/>
      <c r="R68" s="127"/>
      <c r="S68" s="35">
        <f t="shared" si="29"/>
        <v>1904.34</v>
      </c>
      <c r="T68" s="36">
        <f t="shared" si="30"/>
        <v>-0.173682315012085</v>
      </c>
      <c r="U68" s="38"/>
      <c r="V68" s="35">
        <v>327.33</v>
      </c>
      <c r="W68" s="36">
        <f t="shared" si="31"/>
        <v>0.148163737767021</v>
      </c>
      <c r="X68" s="35">
        <v>306.7</v>
      </c>
      <c r="Y68" s="36">
        <f>X68/AY68-1</f>
        <v>-0.0490807056707903</v>
      </c>
      <c r="Z68" s="35">
        <v>269.14</v>
      </c>
      <c r="AA68" s="36">
        <f>Z68/BA68-1</f>
        <v>0.139554577017529</v>
      </c>
      <c r="AB68" s="35">
        <v>222.5</v>
      </c>
      <c r="AC68" s="36">
        <f>AB68/BC68-1</f>
        <v>0.00815586769370191</v>
      </c>
      <c r="AD68" s="35">
        <v>254.32</v>
      </c>
      <c r="AE68" s="36">
        <f>AD68/BE68-1</f>
        <v>-0.0552046957426258</v>
      </c>
      <c r="AF68" s="224">
        <v>289.07</v>
      </c>
      <c r="AG68" s="36">
        <f t="shared" si="32"/>
        <v>-0.106457296528701</v>
      </c>
      <c r="AH68" s="35">
        <v>330.41</v>
      </c>
      <c r="AI68" s="36">
        <f t="shared" si="33"/>
        <v>-0.144148577941253</v>
      </c>
      <c r="AJ68" s="35">
        <v>305.14</v>
      </c>
      <c r="AK68" s="36">
        <f t="shared" si="34"/>
        <v>-0.112216694306246</v>
      </c>
      <c r="AL68" s="35">
        <v>297.38</v>
      </c>
      <c r="AM68" s="36">
        <f t="shared" si="35"/>
        <v>-0.131052216345732</v>
      </c>
      <c r="AN68" s="35">
        <v>335.75</v>
      </c>
      <c r="AO68" s="36">
        <f t="shared" si="36"/>
        <v>-0.138837591053658</v>
      </c>
      <c r="AP68" s="35">
        <v>286.46</v>
      </c>
      <c r="AQ68" s="36">
        <f t="shared" si="37"/>
        <v>-0.138595699894753</v>
      </c>
      <c r="AR68" s="35">
        <v>290</v>
      </c>
      <c r="AS68" s="36">
        <f t="shared" si="38"/>
        <v>-0.145601319898651</v>
      </c>
      <c r="AT68" s="35">
        <f t="shared" si="39"/>
        <v>3514.2</v>
      </c>
      <c r="AU68" s="36">
        <f t="shared" si="40"/>
        <v>-0.0730248164092175</v>
      </c>
      <c r="AV68" s="47"/>
      <c r="AW68" s="35">
        <v>285.09</v>
      </c>
      <c r="AX68" s="36"/>
      <c r="AY68" s="35">
        <v>322.53</v>
      </c>
      <c r="AZ68" s="36"/>
      <c r="BA68" s="35">
        <v>236.18</v>
      </c>
      <c r="BB68" s="36"/>
      <c r="BC68" s="35">
        <v>220.7</v>
      </c>
      <c r="BD68" s="36"/>
      <c r="BE68" s="35">
        <v>269.18</v>
      </c>
      <c r="BF68" s="36"/>
      <c r="BG68" s="35">
        <v>323.51</v>
      </c>
      <c r="BH68" s="36"/>
      <c r="BI68" s="35">
        <v>386.06</v>
      </c>
      <c r="BJ68" s="36"/>
      <c r="BK68" s="35">
        <v>343.71</v>
      </c>
      <c r="BL68" s="36"/>
      <c r="BM68" s="35">
        <v>342.23</v>
      </c>
      <c r="BN68" s="36"/>
      <c r="BO68" s="35">
        <v>389.88</v>
      </c>
      <c r="BP68" s="37"/>
      <c r="BQ68" s="35">
        <v>332.55</v>
      </c>
      <c r="BR68" s="36"/>
      <c r="BS68" s="35">
        <v>339.42</v>
      </c>
      <c r="BT68" s="36"/>
      <c r="BU68" s="35">
        <f t="shared" si="41"/>
        <v>3791.04</v>
      </c>
      <c r="BV68" s="221"/>
      <c r="BW68" s="222"/>
      <c r="BX68" s="227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7"/>
    </row>
    <row r="69" s="205" customFormat="1" ht="27" customHeight="1" spans="1:88">
      <c r="A69" s="48" t="s">
        <v>110</v>
      </c>
      <c r="B69" s="34" t="s">
        <v>273</v>
      </c>
      <c r="C69" s="35">
        <v>126.49</v>
      </c>
      <c r="D69" s="36">
        <f t="shared" ref="D69:D76" si="42">C69/V69-1</f>
        <v>-0.117306350314027</v>
      </c>
      <c r="E69" s="35">
        <v>137.36</v>
      </c>
      <c r="F69" s="36">
        <f t="shared" ref="F69:F76" si="43">E69/X69-1</f>
        <v>-0.0223487544483985</v>
      </c>
      <c r="G69" s="35">
        <v>127.76</v>
      </c>
      <c r="H69" s="36">
        <f t="shared" ref="H69:H76" si="44">G69/Z69-1</f>
        <v>-0.0149575944487277</v>
      </c>
      <c r="I69" s="35">
        <v>127.48</v>
      </c>
      <c r="J69" s="36">
        <f t="shared" ref="J69:J76" si="45">I69/AB69-1</f>
        <v>0.0109436954797781</v>
      </c>
      <c r="K69" s="35">
        <v>130.42</v>
      </c>
      <c r="L69" s="36">
        <f t="shared" ref="L69:L76" si="46">K69/AD69-1</f>
        <v>-0.0067022086824069</v>
      </c>
      <c r="M69" s="224">
        <v>125.94</v>
      </c>
      <c r="N69" s="36">
        <f t="shared" ref="N69:N76" si="47">M69/AF69-1</f>
        <v>0.0759504485262708</v>
      </c>
      <c r="O69" s="35">
        <v>115.84</v>
      </c>
      <c r="P69" s="36">
        <f t="shared" ref="P69:P76" si="48">O69/AH69-1</f>
        <v>0.0349325471276691</v>
      </c>
      <c r="Q69" s="175"/>
      <c r="R69" s="127"/>
      <c r="S69" s="103">
        <f t="shared" ref="S69:S76" si="49">C69+E69+G69+I69+K69+M69+O69+Q69</f>
        <v>891.29</v>
      </c>
      <c r="T69" s="104">
        <f t="shared" ref="T69:T76" si="50">S69/SUM(V69+X69+Z69+AB69+AD69+AF69+AH69+AJ69)-1</f>
        <v>-0.115564376085339</v>
      </c>
      <c r="U69" s="38"/>
      <c r="V69" s="35">
        <v>143.3</v>
      </c>
      <c r="W69" s="36">
        <f t="shared" ref="W69:W76" si="51">V69/AW69-1</f>
        <v>0.0107208350966286</v>
      </c>
      <c r="X69" s="35">
        <v>140.5</v>
      </c>
      <c r="Y69" s="36">
        <f>X69/AY69-1</f>
        <v>-0.0270083102493075</v>
      </c>
      <c r="Z69" s="35">
        <v>129.7</v>
      </c>
      <c r="AA69" s="36">
        <f>Z69/BA69-1</f>
        <v>-0.0233433734939761</v>
      </c>
      <c r="AB69" s="35">
        <v>126.1</v>
      </c>
      <c r="AC69" s="36">
        <f>AB69/BC69-1</f>
        <v>0.00960768614891894</v>
      </c>
      <c r="AD69" s="35">
        <v>131.3</v>
      </c>
      <c r="AE69" s="36">
        <f>AD69/BE69-1</f>
        <v>0.015625</v>
      </c>
      <c r="AF69" s="224">
        <v>117.05</v>
      </c>
      <c r="AG69" s="36">
        <f t="shared" ref="AG69:AG76" si="52">AF69/BG69-1</f>
        <v>-0.105942560342194</v>
      </c>
      <c r="AH69" s="35">
        <v>111.93</v>
      </c>
      <c r="AI69" s="36">
        <f t="shared" ref="AI69:AI76" si="53">AH69/BI69-1</f>
        <v>-0.139794036274208</v>
      </c>
      <c r="AJ69" s="35">
        <v>107.87</v>
      </c>
      <c r="AK69" s="36">
        <f t="shared" ref="AK69:AK76" si="54">AJ69/BK69-1</f>
        <v>-0.160283356686906</v>
      </c>
      <c r="AL69" s="35">
        <v>104.36</v>
      </c>
      <c r="AM69" s="36">
        <f t="shared" ref="AM69:AM76" si="55">AL69/BM69-1</f>
        <v>-0.198279173388646</v>
      </c>
      <c r="AN69" s="35">
        <v>116.35</v>
      </c>
      <c r="AO69" s="36">
        <f t="shared" ref="AO69:AO76" si="56">AN69/BO69-1</f>
        <v>-0.147119190734496</v>
      </c>
      <c r="AP69" s="35">
        <v>112.13</v>
      </c>
      <c r="AQ69" s="36">
        <f t="shared" ref="AQ69:AQ76" si="57">AP69/BQ69-1</f>
        <v>-0.139447429009977</v>
      </c>
      <c r="AR69" s="35">
        <v>116.94</v>
      </c>
      <c r="AS69" s="36">
        <f t="shared" ref="AS69:AS76" si="58">AR69/BS69-1</f>
        <v>-0.110722433460076</v>
      </c>
      <c r="AT69" s="35">
        <f t="shared" ref="AT69:AT76" si="59">V69+X69+Z69+AB69+AD69+AF69+AH69+AJ69+AL69+AN69+AP69+AR69</f>
        <v>1457.53</v>
      </c>
      <c r="AU69" s="36">
        <f t="shared" ref="AU69:AU76" si="60">AT69/(AW69+AY69+BA69+BC69+BE69+BG69+BI69+BK69+BM69+BO69+BQ69+BS69)-1</f>
        <v>-0.0839194242795637</v>
      </c>
      <c r="AV69" s="44"/>
      <c r="AW69" s="38">
        <v>141.78</v>
      </c>
      <c r="AX69" s="37">
        <f>AW69/BX69-1</f>
        <v>0.00197879858657246</v>
      </c>
      <c r="AY69" s="38">
        <v>144.4</v>
      </c>
      <c r="AZ69" s="37">
        <f>AY69/BY69-1</f>
        <v>0.011204481792717</v>
      </c>
      <c r="BA69" s="38">
        <v>132.8</v>
      </c>
      <c r="BB69" s="37">
        <f>BA69/BZ69-1</f>
        <v>-0.0740482498954119</v>
      </c>
      <c r="BC69" s="38">
        <v>124.9</v>
      </c>
      <c r="BD69" s="37">
        <f>BC69/CA69-1</f>
        <v>-0.0919665576154126</v>
      </c>
      <c r="BE69" s="38">
        <v>129.28</v>
      </c>
      <c r="BF69" s="37">
        <f>BE69/CB69-1</f>
        <v>-0.0733944954128442</v>
      </c>
      <c r="BG69" s="38">
        <v>130.92</v>
      </c>
      <c r="BH69" s="37">
        <f>BG69/CC69-1</f>
        <v>-0.024441132637854</v>
      </c>
      <c r="BI69" s="38">
        <v>130.12</v>
      </c>
      <c r="BJ69" s="37">
        <f>BI69/CD69-1</f>
        <v>-0.041120117907148</v>
      </c>
      <c r="BK69" s="38">
        <v>128.46</v>
      </c>
      <c r="BL69" s="37">
        <f>BK69/CE69-1</f>
        <v>0.0537281601181201</v>
      </c>
      <c r="BM69" s="38">
        <v>130.17</v>
      </c>
      <c r="BN69" s="37">
        <f>BM69/CF69-1</f>
        <v>0.02868658131816</v>
      </c>
      <c r="BO69" s="38">
        <v>136.42</v>
      </c>
      <c r="BP69" s="37">
        <f>BO69/CG69-1</f>
        <v>0.0412945576673536</v>
      </c>
      <c r="BQ69" s="38">
        <v>130.3</v>
      </c>
      <c r="BR69" s="37">
        <f>BQ69/CH69-1</f>
        <v>0.150551876379691</v>
      </c>
      <c r="BS69" s="38">
        <v>131.5</v>
      </c>
      <c r="BT69" s="37">
        <f>BS69/CI69-1</f>
        <v>0.145470383275261</v>
      </c>
      <c r="BU69" s="38">
        <f t="shared" ref="BU69:BU76" si="61">AW69+AY69+BA69+BC69+BE69+BG69+BI69+BK69+BM69+BO69+BQ69+BS69</f>
        <v>1591.05</v>
      </c>
      <c r="BV69" s="219">
        <f>BU69/CJ69-1</f>
        <v>0.00559347743648075</v>
      </c>
      <c r="BW69" s="204"/>
      <c r="BX69" s="226">
        <v>141.5</v>
      </c>
      <c r="BY69" s="197">
        <v>142.8</v>
      </c>
      <c r="BZ69" s="197">
        <v>143.42</v>
      </c>
      <c r="CA69" s="197">
        <v>137.55</v>
      </c>
      <c r="CB69" s="197">
        <v>139.52</v>
      </c>
      <c r="CC69" s="197">
        <v>134.2</v>
      </c>
      <c r="CD69" s="197">
        <v>135.7</v>
      </c>
      <c r="CE69" s="197">
        <v>121.91</v>
      </c>
      <c r="CF69" s="197">
        <v>126.54</v>
      </c>
      <c r="CG69" s="197">
        <v>131.01</v>
      </c>
      <c r="CH69" s="197">
        <v>113.25</v>
      </c>
      <c r="CI69" s="197">
        <v>114.8</v>
      </c>
      <c r="CJ69" s="38">
        <f>BX69+BY69+BZ69+CA69+CB69+CC69+CD69+CE69+CF69+CG69+CH69+CI69</f>
        <v>1582.2</v>
      </c>
    </row>
    <row r="70" s="206" customFormat="1" ht="27" customHeight="1" spans="1:88">
      <c r="A70" s="45"/>
      <c r="B70" s="34" t="s">
        <v>274</v>
      </c>
      <c r="C70" s="35">
        <v>1465.45</v>
      </c>
      <c r="D70" s="36">
        <f t="shared" si="42"/>
        <v>-0.202918651959185</v>
      </c>
      <c r="E70" s="35">
        <v>1586.93</v>
      </c>
      <c r="F70" s="36">
        <f t="shared" si="43"/>
        <v>-0.11026575465351</v>
      </c>
      <c r="G70" s="35">
        <v>1476.36</v>
      </c>
      <c r="H70" s="36">
        <f t="shared" si="44"/>
        <v>-0.0843938379102479</v>
      </c>
      <c r="I70" s="35">
        <v>1471.6</v>
      </c>
      <c r="J70" s="36">
        <f t="shared" si="45"/>
        <v>-0.0626273950264983</v>
      </c>
      <c r="K70" s="35">
        <v>1504.78</v>
      </c>
      <c r="L70" s="36">
        <f t="shared" si="46"/>
        <v>-0.0777160788928523</v>
      </c>
      <c r="M70" s="224">
        <v>1454.01</v>
      </c>
      <c r="N70" s="36">
        <f t="shared" si="47"/>
        <v>-0.0171889363542963</v>
      </c>
      <c r="O70" s="35">
        <v>1344.18</v>
      </c>
      <c r="P70" s="36">
        <f t="shared" si="48"/>
        <v>-0.0646970413871802</v>
      </c>
      <c r="Q70" s="175"/>
      <c r="R70" s="127"/>
      <c r="S70" s="35">
        <f t="shared" si="49"/>
        <v>10303.31</v>
      </c>
      <c r="T70" s="36">
        <f t="shared" si="50"/>
        <v>-0.183078345369146</v>
      </c>
      <c r="U70" s="38"/>
      <c r="V70" s="35">
        <v>1838.52</v>
      </c>
      <c r="W70" s="36">
        <f t="shared" si="51"/>
        <v>0.0095545598313127</v>
      </c>
      <c r="X70" s="35">
        <v>1783.6</v>
      </c>
      <c r="Y70" s="36">
        <f>X70/AW70-1</f>
        <v>-0.0206027060270603</v>
      </c>
      <c r="Z70" s="35">
        <v>1612.44</v>
      </c>
      <c r="AA70" s="36">
        <f>Z70/AY70-1</f>
        <v>-0.13190197260746</v>
      </c>
      <c r="AB70" s="35">
        <v>1569.92</v>
      </c>
      <c r="AC70" s="36">
        <f>AB70/BA70-1</f>
        <v>-0.0436530659486591</v>
      </c>
      <c r="AD70" s="35">
        <v>1631.58</v>
      </c>
      <c r="AE70" s="36">
        <f>AD70/BC70-1</f>
        <v>0.0604522381172128</v>
      </c>
      <c r="AF70" s="224">
        <v>1479.44</v>
      </c>
      <c r="AG70" s="36">
        <f t="shared" si="52"/>
        <v>-0.0816122564264918</v>
      </c>
      <c r="AH70" s="35">
        <v>1437.16</v>
      </c>
      <c r="AI70" s="36">
        <f t="shared" si="53"/>
        <v>-0.100048217517361</v>
      </c>
      <c r="AJ70" s="35">
        <v>1259.7</v>
      </c>
      <c r="AK70" s="36">
        <f t="shared" si="54"/>
        <v>-0.199143006090506</v>
      </c>
      <c r="AL70" s="35">
        <v>1215.4</v>
      </c>
      <c r="AM70" s="36">
        <f t="shared" si="55"/>
        <v>-0.238251626408614</v>
      </c>
      <c r="AN70" s="35">
        <v>1352.46</v>
      </c>
      <c r="AO70" s="36">
        <f t="shared" si="56"/>
        <v>-0.19518944104923</v>
      </c>
      <c r="AP70" s="35">
        <v>1292.78</v>
      </c>
      <c r="AQ70" s="36">
        <f t="shared" si="57"/>
        <v>-0.18898131767481</v>
      </c>
      <c r="AR70" s="35">
        <v>1348.11</v>
      </c>
      <c r="AS70" s="36">
        <f t="shared" si="58"/>
        <v>-0.165670256219829</v>
      </c>
      <c r="AT70" s="35">
        <f t="shared" si="59"/>
        <v>17821.11</v>
      </c>
      <c r="AU70" s="36">
        <f t="shared" si="60"/>
        <v>-0.0961495936476765</v>
      </c>
      <c r="AV70" s="47"/>
      <c r="AW70" s="35">
        <v>1821.12</v>
      </c>
      <c r="AX70" s="36"/>
      <c r="AY70" s="35">
        <v>1857.44</v>
      </c>
      <c r="AZ70" s="36"/>
      <c r="BA70" s="35">
        <v>1641.58</v>
      </c>
      <c r="BB70" s="36"/>
      <c r="BC70" s="35">
        <v>1538.57</v>
      </c>
      <c r="BD70" s="36"/>
      <c r="BE70" s="35">
        <v>1591.56</v>
      </c>
      <c r="BF70" s="36"/>
      <c r="BG70" s="35">
        <v>1610.91</v>
      </c>
      <c r="BH70" s="36"/>
      <c r="BI70" s="35">
        <v>1596.93</v>
      </c>
      <c r="BJ70" s="36"/>
      <c r="BK70" s="35">
        <v>1572.94</v>
      </c>
      <c r="BL70" s="36"/>
      <c r="BM70" s="35">
        <v>1595.54</v>
      </c>
      <c r="BN70" s="36"/>
      <c r="BO70" s="35">
        <v>1680.47</v>
      </c>
      <c r="BP70" s="37"/>
      <c r="BQ70" s="35">
        <v>1594.02</v>
      </c>
      <c r="BR70" s="36"/>
      <c r="BS70" s="35">
        <v>1615.8</v>
      </c>
      <c r="BT70" s="36"/>
      <c r="BU70" s="35">
        <f t="shared" si="61"/>
        <v>19716.88</v>
      </c>
      <c r="BV70" s="221"/>
      <c r="BW70" s="222"/>
      <c r="BX70" s="223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7"/>
    </row>
    <row r="71" s="206" customFormat="1" ht="27" customHeight="1" spans="1:88">
      <c r="A71" s="45"/>
      <c r="B71" s="34" t="s">
        <v>275</v>
      </c>
      <c r="C71" s="35">
        <v>71.59</v>
      </c>
      <c r="D71" s="36">
        <f t="shared" si="42"/>
        <v>-0.247292608558511</v>
      </c>
      <c r="E71" s="35">
        <v>71.26</v>
      </c>
      <c r="F71" s="36">
        <f t="shared" si="43"/>
        <v>0.0744873341375152</v>
      </c>
      <c r="G71" s="35">
        <v>67.01</v>
      </c>
      <c r="H71" s="36">
        <f t="shared" si="44"/>
        <v>0.0926137290070113</v>
      </c>
      <c r="I71" s="35">
        <v>65.33</v>
      </c>
      <c r="J71" s="36">
        <f t="shared" si="45"/>
        <v>0.0952221290863369</v>
      </c>
      <c r="K71" s="35">
        <v>65.94</v>
      </c>
      <c r="L71" s="36">
        <f t="shared" si="46"/>
        <v>0.0621778350515463</v>
      </c>
      <c r="M71" s="224">
        <v>62.78</v>
      </c>
      <c r="N71" s="36">
        <f t="shared" si="47"/>
        <v>0.115493958777541</v>
      </c>
      <c r="O71" s="35">
        <v>58</v>
      </c>
      <c r="P71" s="36">
        <f t="shared" si="48"/>
        <v>0.0375670840787121</v>
      </c>
      <c r="Q71" s="175"/>
      <c r="R71" s="127"/>
      <c r="S71" s="35">
        <f t="shared" si="49"/>
        <v>461.91</v>
      </c>
      <c r="T71" s="36">
        <f t="shared" si="50"/>
        <v>-0.0940276551927037</v>
      </c>
      <c r="U71" s="38"/>
      <c r="V71" s="35">
        <v>95.11</v>
      </c>
      <c r="W71" s="36">
        <f t="shared" si="51"/>
        <v>0.0103038028468239</v>
      </c>
      <c r="X71" s="35">
        <v>66.32</v>
      </c>
      <c r="Y71" s="36">
        <f>X71/AY71-1</f>
        <v>-0.340362044957231</v>
      </c>
      <c r="Z71" s="35">
        <v>61.33</v>
      </c>
      <c r="AA71" s="36">
        <f>Z71/BA71-1</f>
        <v>-0.349007536354952</v>
      </c>
      <c r="AB71" s="35">
        <v>59.65</v>
      </c>
      <c r="AC71" s="36">
        <f>AB71/BC71-1</f>
        <v>-0.301358631998126</v>
      </c>
      <c r="AD71" s="35">
        <v>62.08</v>
      </c>
      <c r="AE71" s="36">
        <f>AD71/BE71-1</f>
        <v>-0.29734012450481</v>
      </c>
      <c r="AF71" s="224">
        <v>56.28</v>
      </c>
      <c r="AG71" s="36">
        <f t="shared" si="52"/>
        <v>-0.370962333743154</v>
      </c>
      <c r="AH71" s="35">
        <v>55.9</v>
      </c>
      <c r="AI71" s="36">
        <f t="shared" si="53"/>
        <v>-0.371910112359551</v>
      </c>
      <c r="AJ71" s="35">
        <v>53.18</v>
      </c>
      <c r="AK71" s="36">
        <f t="shared" si="54"/>
        <v>-0.395063132749403</v>
      </c>
      <c r="AL71" s="35">
        <v>51.6</v>
      </c>
      <c r="AM71" s="36">
        <f t="shared" si="55"/>
        <v>-0.42042008311805</v>
      </c>
      <c r="AN71" s="35">
        <v>60.24</v>
      </c>
      <c r="AO71" s="36">
        <f t="shared" si="56"/>
        <v>-0.346637744034707</v>
      </c>
      <c r="AP71" s="35">
        <v>61.4</v>
      </c>
      <c r="AQ71" s="36">
        <f t="shared" si="57"/>
        <v>-0.302827296468718</v>
      </c>
      <c r="AR71" s="35">
        <v>66.52</v>
      </c>
      <c r="AS71" s="36">
        <f t="shared" si="58"/>
        <v>-0.247851650836725</v>
      </c>
      <c r="AT71" s="35">
        <f t="shared" si="59"/>
        <v>749.61</v>
      </c>
      <c r="AU71" s="36">
        <f t="shared" si="60"/>
        <v>-0.310221396102104</v>
      </c>
      <c r="AV71" s="47"/>
      <c r="AW71" s="35">
        <v>94.14</v>
      </c>
      <c r="AX71" s="36"/>
      <c r="AY71" s="35">
        <v>100.54</v>
      </c>
      <c r="AZ71" s="36"/>
      <c r="BA71" s="35">
        <v>94.21</v>
      </c>
      <c r="BB71" s="36"/>
      <c r="BC71" s="35">
        <v>85.38</v>
      </c>
      <c r="BD71" s="36"/>
      <c r="BE71" s="35">
        <v>88.35</v>
      </c>
      <c r="BF71" s="36"/>
      <c r="BG71" s="35">
        <v>89.47</v>
      </c>
      <c r="BH71" s="36"/>
      <c r="BI71" s="35">
        <v>89</v>
      </c>
      <c r="BJ71" s="36">
        <f>BI71/CD71-1</f>
        <v>-0.0903515944399019</v>
      </c>
      <c r="BK71" s="35">
        <v>87.91</v>
      </c>
      <c r="BL71" s="36">
        <f>BK71/CE71-1</f>
        <v>0.00170920692798537</v>
      </c>
      <c r="BM71" s="35">
        <v>89.03</v>
      </c>
      <c r="BN71" s="36">
        <f>BM71/CF71-1</f>
        <v>-0.0240078930059198</v>
      </c>
      <c r="BO71" s="35">
        <v>92.2</v>
      </c>
      <c r="BP71" s="36">
        <f>BO71/CG71-1</f>
        <v>-0.0107296137339056</v>
      </c>
      <c r="BQ71" s="35">
        <v>88.07</v>
      </c>
      <c r="BR71" s="36">
        <f>BQ71/CH71-1</f>
        <v>0.106129113288118</v>
      </c>
      <c r="BS71" s="35">
        <v>88.44</v>
      </c>
      <c r="BT71" s="36">
        <f>BS71/CI71-1</f>
        <v>0.106053026513257</v>
      </c>
      <c r="BU71" s="35">
        <f t="shared" si="61"/>
        <v>1086.74</v>
      </c>
      <c r="BV71" s="221"/>
      <c r="BW71" s="222"/>
      <c r="BX71" s="227"/>
      <c r="BY71" s="49"/>
      <c r="BZ71" s="49"/>
      <c r="CA71" s="49"/>
      <c r="CB71" s="49"/>
      <c r="CC71" s="49"/>
      <c r="CD71" s="50">
        <v>97.84</v>
      </c>
      <c r="CE71" s="50">
        <v>87.76</v>
      </c>
      <c r="CF71" s="50">
        <v>91.22</v>
      </c>
      <c r="CG71" s="50">
        <v>93.2</v>
      </c>
      <c r="CH71" s="50">
        <v>79.62</v>
      </c>
      <c r="CI71" s="50">
        <v>79.96</v>
      </c>
      <c r="CJ71" s="35">
        <f>BX71+BY71+BZ71+CA71+CB71+CC71+CD71+CE71+CF71+CG71+CH71+CI71</f>
        <v>529.6</v>
      </c>
    </row>
    <row r="72" s="206" customFormat="1" ht="27" customHeight="1" spans="1:88">
      <c r="A72" s="29"/>
      <c r="B72" s="34" t="s">
        <v>276</v>
      </c>
      <c r="C72" s="35">
        <v>261</v>
      </c>
      <c r="D72" s="36">
        <f t="shared" si="42"/>
        <v>-0.232375518367107</v>
      </c>
      <c r="E72" s="35">
        <v>259.32</v>
      </c>
      <c r="F72" s="36">
        <f t="shared" si="43"/>
        <v>0.0832532687246752</v>
      </c>
      <c r="G72" s="225">
        <v>243.76</v>
      </c>
      <c r="H72" s="36">
        <f t="shared" si="44"/>
        <v>0.0937317718849553</v>
      </c>
      <c r="I72" s="35">
        <v>237.56</v>
      </c>
      <c r="J72" s="36">
        <f t="shared" si="45"/>
        <v>0.096413901324595</v>
      </c>
      <c r="K72" s="35">
        <v>239.74</v>
      </c>
      <c r="L72" s="36">
        <f t="shared" si="46"/>
        <v>0.062677304964539</v>
      </c>
      <c r="M72" s="224">
        <v>227.97</v>
      </c>
      <c r="N72" s="36">
        <f t="shared" si="47"/>
        <v>0.119915504028296</v>
      </c>
      <c r="O72" s="35">
        <v>209.99</v>
      </c>
      <c r="P72" s="36">
        <f t="shared" si="48"/>
        <v>0.041565398541739</v>
      </c>
      <c r="Q72" s="175"/>
      <c r="R72" s="127"/>
      <c r="S72" s="35">
        <f t="shared" si="49"/>
        <v>1679.34</v>
      </c>
      <c r="T72" s="36">
        <f t="shared" si="50"/>
        <v>-0.0880536956486324</v>
      </c>
      <c r="U72" s="38"/>
      <c r="V72" s="35">
        <v>340.01</v>
      </c>
      <c r="W72" s="36">
        <f t="shared" si="51"/>
        <v>0.00294976549364323</v>
      </c>
      <c r="X72" s="35">
        <v>239.39</v>
      </c>
      <c r="Y72" s="36">
        <f>X72/AY72-1</f>
        <v>-0.315911299079842</v>
      </c>
      <c r="Z72" s="35">
        <v>222.87</v>
      </c>
      <c r="AA72" s="36">
        <f>Z72/BA72-1</f>
        <v>-0.326778432260988</v>
      </c>
      <c r="AB72" s="35">
        <v>216.67</v>
      </c>
      <c r="AC72" s="36">
        <f>AB72/BC72-1</f>
        <v>-0.297893713545042</v>
      </c>
      <c r="AD72" s="35">
        <v>225.6</v>
      </c>
      <c r="AE72" s="36">
        <f>AD72/BE72-1</f>
        <v>-0.293542932297864</v>
      </c>
      <c r="AF72" s="224">
        <v>203.56</v>
      </c>
      <c r="AG72" s="36">
        <f t="shared" si="52"/>
        <v>-0.370523841919723</v>
      </c>
      <c r="AH72" s="35">
        <v>201.61</v>
      </c>
      <c r="AI72" s="36">
        <f t="shared" si="53"/>
        <v>-0.373629104918135</v>
      </c>
      <c r="AJ72" s="35">
        <v>191.78</v>
      </c>
      <c r="AK72" s="36">
        <f t="shared" si="54"/>
        <v>-0.397069919517103</v>
      </c>
      <c r="AL72" s="35">
        <v>186.31</v>
      </c>
      <c r="AM72" s="36">
        <f t="shared" si="55"/>
        <v>-0.421505309569645</v>
      </c>
      <c r="AN72" s="35">
        <v>218.24</v>
      </c>
      <c r="AO72" s="36">
        <f t="shared" si="56"/>
        <v>-0.344978690197491</v>
      </c>
      <c r="AP72" s="35">
        <v>224.01</v>
      </c>
      <c r="AQ72" s="36">
        <f t="shared" si="57"/>
        <v>-0.295964548368848</v>
      </c>
      <c r="AR72" s="35">
        <v>243.07</v>
      </c>
      <c r="AS72" s="36">
        <f t="shared" si="58"/>
        <v>-0.238621769772905</v>
      </c>
      <c r="AT72" s="35">
        <f t="shared" si="59"/>
        <v>2713.12</v>
      </c>
      <c r="AU72" s="36">
        <f t="shared" si="60"/>
        <v>-0.305030302719816</v>
      </c>
      <c r="AV72" s="47"/>
      <c r="AW72" s="35">
        <v>339.01</v>
      </c>
      <c r="AX72" s="36"/>
      <c r="AY72" s="35">
        <v>349.94</v>
      </c>
      <c r="AZ72" s="36"/>
      <c r="BA72" s="35">
        <v>331.05</v>
      </c>
      <c r="BB72" s="36"/>
      <c r="BC72" s="35">
        <v>308.6</v>
      </c>
      <c r="BD72" s="36"/>
      <c r="BE72" s="35">
        <v>319.34</v>
      </c>
      <c r="BF72" s="36"/>
      <c r="BG72" s="35">
        <v>323.38</v>
      </c>
      <c r="BH72" s="36"/>
      <c r="BI72" s="35">
        <v>321.87</v>
      </c>
      <c r="BJ72" s="36"/>
      <c r="BK72" s="35">
        <v>318.08</v>
      </c>
      <c r="BL72" s="36"/>
      <c r="BM72" s="35">
        <v>322.06</v>
      </c>
      <c r="BN72" s="36"/>
      <c r="BO72" s="35">
        <v>333.18</v>
      </c>
      <c r="BP72" s="37"/>
      <c r="BQ72" s="35">
        <v>318.18</v>
      </c>
      <c r="BR72" s="36"/>
      <c r="BS72" s="35">
        <v>319.25</v>
      </c>
      <c r="BT72" s="36"/>
      <c r="BU72" s="35">
        <f t="shared" si="61"/>
        <v>3903.94</v>
      </c>
      <c r="BV72" s="221"/>
      <c r="BW72" s="222"/>
      <c r="BX72" s="227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7"/>
    </row>
    <row r="73" s="205" customFormat="1" ht="27" customHeight="1" spans="1:88">
      <c r="A73" s="48" t="s">
        <v>112</v>
      </c>
      <c r="B73" s="34" t="s">
        <v>273</v>
      </c>
      <c r="C73" s="35">
        <v>10.1</v>
      </c>
      <c r="D73" s="36">
        <f t="shared" si="42"/>
        <v>0.224242424242424</v>
      </c>
      <c r="E73" s="35">
        <v>7</v>
      </c>
      <c r="F73" s="36">
        <f t="shared" si="43"/>
        <v>0</v>
      </c>
      <c r="G73" s="35">
        <v>10</v>
      </c>
      <c r="H73" s="36">
        <f t="shared" si="44"/>
        <v>0.0319917440660475</v>
      </c>
      <c r="I73" s="35">
        <v>9.8</v>
      </c>
      <c r="J73" s="36">
        <f t="shared" si="45"/>
        <v>0</v>
      </c>
      <c r="K73" s="35">
        <v>10</v>
      </c>
      <c r="L73" s="36">
        <f t="shared" si="46"/>
        <v>-0.0476190476190477</v>
      </c>
      <c r="M73" s="224">
        <v>10.45</v>
      </c>
      <c r="N73" s="36">
        <f t="shared" si="47"/>
        <v>0.0295566502463054</v>
      </c>
      <c r="O73" s="35">
        <v>11.1</v>
      </c>
      <c r="P73" s="36">
        <f t="shared" si="48"/>
        <v>0.0471698113207548</v>
      </c>
      <c r="Q73" s="175"/>
      <c r="R73" s="127"/>
      <c r="S73" s="103">
        <f t="shared" si="49"/>
        <v>68.45</v>
      </c>
      <c r="T73" s="104">
        <f t="shared" si="50"/>
        <v>-0.0912108337758895</v>
      </c>
      <c r="U73" s="38"/>
      <c r="V73" s="35">
        <v>8.25</v>
      </c>
      <c r="W73" s="36">
        <f t="shared" si="51"/>
        <v>-0.050632911392405</v>
      </c>
      <c r="X73" s="35">
        <v>7</v>
      </c>
      <c r="Y73" s="36">
        <f>X73/AY73-1</f>
        <v>-0.0666666666666667</v>
      </c>
      <c r="Z73" s="35">
        <v>9.69</v>
      </c>
      <c r="AA73" s="36">
        <f>Z73/BA73-1</f>
        <v>0.300671140939597</v>
      </c>
      <c r="AB73" s="35">
        <v>9.8</v>
      </c>
      <c r="AC73" s="36">
        <f>AB73/BC73-1</f>
        <v>0.212871287128713</v>
      </c>
      <c r="AD73" s="35">
        <v>10.5</v>
      </c>
      <c r="AE73" s="36">
        <f>AD73/BE73-1</f>
        <v>0.206896551724138</v>
      </c>
      <c r="AF73" s="224">
        <v>10.15</v>
      </c>
      <c r="AG73" s="36">
        <f t="shared" si="52"/>
        <v>0.16</v>
      </c>
      <c r="AH73" s="35">
        <v>10.6</v>
      </c>
      <c r="AI73" s="36">
        <f t="shared" si="53"/>
        <v>0.108786610878661</v>
      </c>
      <c r="AJ73" s="35">
        <v>9.33</v>
      </c>
      <c r="AK73" s="36">
        <f t="shared" si="54"/>
        <v>0.0798611111111109</v>
      </c>
      <c r="AL73" s="35">
        <v>9.36</v>
      </c>
      <c r="AM73" s="36">
        <f t="shared" si="55"/>
        <v>0.0516853932584269</v>
      </c>
      <c r="AN73" s="35">
        <v>9.6</v>
      </c>
      <c r="AO73" s="36">
        <f t="shared" si="56"/>
        <v>0.103448275862069</v>
      </c>
      <c r="AP73" s="35">
        <v>9.25</v>
      </c>
      <c r="AQ73" s="36">
        <f t="shared" si="57"/>
        <v>0.101190476190476</v>
      </c>
      <c r="AR73" s="35">
        <v>10</v>
      </c>
      <c r="AS73" s="36">
        <f t="shared" si="58"/>
        <v>0.149425287356322</v>
      </c>
      <c r="AT73" s="35">
        <f t="shared" si="59"/>
        <v>113.53</v>
      </c>
      <c r="AU73" s="36">
        <f t="shared" si="60"/>
        <v>0.112275889095718</v>
      </c>
      <c r="AV73" s="44"/>
      <c r="AW73" s="38">
        <v>8.69</v>
      </c>
      <c r="AX73" s="37">
        <f>AW73/BX73-1</f>
        <v>0.975</v>
      </c>
      <c r="AY73" s="38">
        <v>7.5</v>
      </c>
      <c r="AZ73" s="37">
        <f>AY73/BY73-1</f>
        <v>0.0775862068965518</v>
      </c>
      <c r="BA73" s="38">
        <v>7.45</v>
      </c>
      <c r="BB73" s="37">
        <f>BA73/BZ73-1</f>
        <v>-0.123529411764706</v>
      </c>
      <c r="BC73" s="38">
        <v>8.08</v>
      </c>
      <c r="BD73" s="37">
        <f>BC73/CA73-1</f>
        <v>-0.0380952380952382</v>
      </c>
      <c r="BE73" s="38">
        <v>8.7</v>
      </c>
      <c r="BF73" s="37">
        <f>BE73/CB73-1</f>
        <v>-0.0522875816993464</v>
      </c>
      <c r="BG73" s="38">
        <v>8.75</v>
      </c>
      <c r="BH73" s="37">
        <f>BG73/CC73-1</f>
        <v>0.0978670012547052</v>
      </c>
      <c r="BI73" s="38">
        <v>9.56</v>
      </c>
      <c r="BJ73" s="37">
        <f>BI73/CD73-1</f>
        <v>0.0191897654584221</v>
      </c>
      <c r="BK73" s="38">
        <v>8.64</v>
      </c>
      <c r="BL73" s="37">
        <f>BK73/CE73-1</f>
        <v>-0.00689655172413783</v>
      </c>
      <c r="BM73" s="38">
        <v>8.9</v>
      </c>
      <c r="BN73" s="37">
        <f>BM73/CF73-1</f>
        <v>0.0482921083627799</v>
      </c>
      <c r="BO73" s="38">
        <v>8.7</v>
      </c>
      <c r="BP73" s="37">
        <f>BO73/CG73-1</f>
        <v>-0.0685224839400429</v>
      </c>
      <c r="BQ73" s="38">
        <v>8.4</v>
      </c>
      <c r="BR73" s="37">
        <f>BQ73/CH73-1</f>
        <v>-0.103521878335112</v>
      </c>
      <c r="BS73" s="38">
        <v>8.7</v>
      </c>
      <c r="BT73" s="37">
        <f>BS73/CI73-1</f>
        <v>0</v>
      </c>
      <c r="BU73" s="38">
        <f t="shared" si="61"/>
        <v>102.07</v>
      </c>
      <c r="BV73" s="219">
        <f>BU73/CJ73-1</f>
        <v>0.0269644833484257</v>
      </c>
      <c r="BW73" s="204"/>
      <c r="BX73" s="226">
        <v>4.4</v>
      </c>
      <c r="BY73" s="197">
        <v>6.96</v>
      </c>
      <c r="BZ73" s="197">
        <v>8.5</v>
      </c>
      <c r="CA73" s="197">
        <v>8.4</v>
      </c>
      <c r="CB73" s="197">
        <v>9.18</v>
      </c>
      <c r="CC73" s="197">
        <v>7.97</v>
      </c>
      <c r="CD73" s="197">
        <v>9.38</v>
      </c>
      <c r="CE73" s="197">
        <v>8.7</v>
      </c>
      <c r="CF73" s="197">
        <v>8.49</v>
      </c>
      <c r="CG73" s="197">
        <v>9.34</v>
      </c>
      <c r="CH73" s="197">
        <v>9.37</v>
      </c>
      <c r="CI73" s="197">
        <v>8.7</v>
      </c>
      <c r="CJ73" s="38">
        <f>BX73+BY73+BZ73+CA73+CB73+CC73+CD73+CE73+CF73+CG73+CH73+CI73</f>
        <v>99.39</v>
      </c>
    </row>
    <row r="74" s="206" customFormat="1" ht="27" customHeight="1" spans="1:88">
      <c r="A74" s="45"/>
      <c r="B74" s="34" t="s">
        <v>274</v>
      </c>
      <c r="C74" s="35">
        <v>95.95</v>
      </c>
      <c r="D74" s="36">
        <f t="shared" si="42"/>
        <v>0.224164327634601</v>
      </c>
      <c r="E74" s="35">
        <v>66.5</v>
      </c>
      <c r="F74" s="36">
        <f t="shared" si="43"/>
        <v>0</v>
      </c>
      <c r="G74" s="35">
        <v>95</v>
      </c>
      <c r="H74" s="36">
        <f t="shared" si="44"/>
        <v>0.0319356941125353</v>
      </c>
      <c r="I74" s="35">
        <v>93.1</v>
      </c>
      <c r="J74" s="36">
        <f t="shared" si="45"/>
        <v>0</v>
      </c>
      <c r="K74" s="35">
        <v>95</v>
      </c>
      <c r="L74" s="36">
        <f t="shared" si="46"/>
        <v>-0.0476190476190477</v>
      </c>
      <c r="M74" s="224">
        <v>99.28</v>
      </c>
      <c r="N74" s="36">
        <f t="shared" si="47"/>
        <v>0.02955511770196</v>
      </c>
      <c r="O74" s="35">
        <v>105.45</v>
      </c>
      <c r="P74" s="36">
        <f t="shared" si="48"/>
        <v>0.0471698113207548</v>
      </c>
      <c r="Q74" s="175"/>
      <c r="R74" s="127"/>
      <c r="S74" s="35">
        <f t="shared" si="49"/>
        <v>650.28</v>
      </c>
      <c r="T74" s="36">
        <f t="shared" si="50"/>
        <v>-0.0912292470233105</v>
      </c>
      <c r="U74" s="38"/>
      <c r="V74" s="35">
        <v>78.38</v>
      </c>
      <c r="W74" s="36">
        <f t="shared" si="51"/>
        <v>-0.0506298449612403</v>
      </c>
      <c r="X74" s="35">
        <v>66.5</v>
      </c>
      <c r="Y74" s="36">
        <f>X74/AW74-1</f>
        <v>-0.19452519379845</v>
      </c>
      <c r="Z74" s="35">
        <v>92.06</v>
      </c>
      <c r="AA74" s="36">
        <f>Z74/AY74-1</f>
        <v>0.292070175438597</v>
      </c>
      <c r="AB74" s="35">
        <v>93.1</v>
      </c>
      <c r="AC74" s="36">
        <f>AB74/BA74-1</f>
        <v>0.315343317321277</v>
      </c>
      <c r="AD74" s="35">
        <v>99.75</v>
      </c>
      <c r="AE74" s="36">
        <f>AD74/BC74-1</f>
        <v>0.299504950495049</v>
      </c>
      <c r="AF74" s="224">
        <v>96.43</v>
      </c>
      <c r="AG74" s="36">
        <f t="shared" si="52"/>
        <v>0.159990376518706</v>
      </c>
      <c r="AH74" s="35">
        <v>100.7</v>
      </c>
      <c r="AI74" s="36">
        <f t="shared" si="53"/>
        <v>0.108786610878661</v>
      </c>
      <c r="AJ74" s="35">
        <v>88.64</v>
      </c>
      <c r="AK74" s="36">
        <f t="shared" si="54"/>
        <v>0.0799220272904484</v>
      </c>
      <c r="AL74" s="35">
        <v>88.92</v>
      </c>
      <c r="AM74" s="36">
        <f t="shared" si="55"/>
        <v>0.0516853932584269</v>
      </c>
      <c r="AN74" s="35">
        <v>91.2</v>
      </c>
      <c r="AO74" s="36">
        <f t="shared" si="56"/>
        <v>0.103448275862069</v>
      </c>
      <c r="AP74" s="35">
        <v>87.88</v>
      </c>
      <c r="AQ74" s="36">
        <f t="shared" si="57"/>
        <v>0.10125313283208</v>
      </c>
      <c r="AR74" s="35">
        <v>95</v>
      </c>
      <c r="AS74" s="36">
        <f t="shared" si="58"/>
        <v>0.149425287356322</v>
      </c>
      <c r="AT74" s="35">
        <f t="shared" si="59"/>
        <v>1078.56</v>
      </c>
      <c r="AU74" s="36">
        <f t="shared" si="60"/>
        <v>0.112284464978137</v>
      </c>
      <c r="AV74" s="47"/>
      <c r="AW74" s="35">
        <v>82.56</v>
      </c>
      <c r="AX74" s="36"/>
      <c r="AY74" s="35">
        <v>71.25</v>
      </c>
      <c r="AZ74" s="36"/>
      <c r="BA74" s="35">
        <v>70.78</v>
      </c>
      <c r="BB74" s="36"/>
      <c r="BC74" s="35">
        <v>76.76</v>
      </c>
      <c r="BD74" s="36"/>
      <c r="BE74" s="35">
        <v>82.65</v>
      </c>
      <c r="BF74" s="36"/>
      <c r="BG74" s="35">
        <v>83.13</v>
      </c>
      <c r="BH74" s="36"/>
      <c r="BI74" s="35">
        <v>90.82</v>
      </c>
      <c r="BJ74" s="36"/>
      <c r="BK74" s="35">
        <v>82.08</v>
      </c>
      <c r="BL74" s="36"/>
      <c r="BM74" s="35">
        <v>84.55</v>
      </c>
      <c r="BN74" s="36"/>
      <c r="BO74" s="35">
        <v>82.65</v>
      </c>
      <c r="BP74" s="37"/>
      <c r="BQ74" s="35">
        <v>79.8</v>
      </c>
      <c r="BR74" s="36"/>
      <c r="BS74" s="35">
        <v>82.65</v>
      </c>
      <c r="BT74" s="36"/>
      <c r="BU74" s="35">
        <f t="shared" si="61"/>
        <v>969.68</v>
      </c>
      <c r="BV74" s="221"/>
      <c r="BW74" s="222"/>
      <c r="BX74" s="223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7"/>
    </row>
    <row r="75" s="206" customFormat="1" ht="27" customHeight="1" spans="1:88">
      <c r="A75" s="45"/>
      <c r="B75" s="34" t="s">
        <v>275</v>
      </c>
      <c r="C75" s="35">
        <v>9.05</v>
      </c>
      <c r="D75" s="36">
        <f t="shared" si="42"/>
        <v>0.138364779874214</v>
      </c>
      <c r="E75" s="35">
        <v>6.2</v>
      </c>
      <c r="F75" s="36">
        <f t="shared" si="43"/>
        <v>-0.0855457227138643</v>
      </c>
      <c r="G75" s="35">
        <v>9.2</v>
      </c>
      <c r="H75" s="36">
        <f t="shared" si="44"/>
        <v>0.00546448087431672</v>
      </c>
      <c r="I75" s="35">
        <v>9</v>
      </c>
      <c r="J75" s="36">
        <f t="shared" si="45"/>
        <v>-0.0322580645161291</v>
      </c>
      <c r="K75" s="35">
        <v>9.1</v>
      </c>
      <c r="L75" s="36">
        <f t="shared" si="46"/>
        <v>-0.0714285714285715</v>
      </c>
      <c r="M75" s="224">
        <v>9.38</v>
      </c>
      <c r="N75" s="36">
        <f t="shared" si="47"/>
        <v>-0.010548523206751</v>
      </c>
      <c r="O75" s="35">
        <v>9.8</v>
      </c>
      <c r="P75" s="36">
        <f t="shared" si="48"/>
        <v>0</v>
      </c>
      <c r="Q75" s="175"/>
      <c r="R75" s="127"/>
      <c r="S75" s="35">
        <f t="shared" si="49"/>
        <v>61.73</v>
      </c>
      <c r="T75" s="36">
        <f t="shared" si="50"/>
        <v>-0.129214275638313</v>
      </c>
      <c r="U75" s="38"/>
      <c r="V75" s="35">
        <v>7.95</v>
      </c>
      <c r="W75" s="36">
        <f t="shared" si="51"/>
        <v>-0.0636042402826855</v>
      </c>
      <c r="X75" s="35">
        <v>6.78</v>
      </c>
      <c r="Y75" s="36">
        <f>X75/AY75-1</f>
        <v>-0.0712328767123287</v>
      </c>
      <c r="Z75" s="35">
        <v>9.15</v>
      </c>
      <c r="AA75" s="36">
        <f>Z75/BA75-1</f>
        <v>0.262068965517241</v>
      </c>
      <c r="AB75" s="35">
        <v>9.3</v>
      </c>
      <c r="AC75" s="36">
        <f>AB75/BC75-1</f>
        <v>0.223684210526316</v>
      </c>
      <c r="AD75" s="35">
        <v>9.8</v>
      </c>
      <c r="AE75" s="36">
        <f>AD75/BE75-1</f>
        <v>0.209876543209877</v>
      </c>
      <c r="AF75" s="224">
        <v>9.48</v>
      </c>
      <c r="AG75" s="36">
        <f t="shared" si="52"/>
        <v>0.142168674698795</v>
      </c>
      <c r="AH75" s="35">
        <v>9.8</v>
      </c>
      <c r="AI75" s="36">
        <f t="shared" si="53"/>
        <v>0.097424412094065</v>
      </c>
      <c r="AJ75" s="35">
        <v>8.63</v>
      </c>
      <c r="AK75" s="36">
        <f t="shared" si="54"/>
        <v>0.0422705314009664</v>
      </c>
      <c r="AL75" s="35">
        <v>8.76</v>
      </c>
      <c r="AM75" s="36">
        <f t="shared" si="55"/>
        <v>0.0186046511627906</v>
      </c>
      <c r="AN75" s="35">
        <v>8.7</v>
      </c>
      <c r="AO75" s="36">
        <f t="shared" si="56"/>
        <v>0.0357142857142856</v>
      </c>
      <c r="AP75" s="35">
        <v>8.5</v>
      </c>
      <c r="AQ75" s="36">
        <f t="shared" si="57"/>
        <v>0.0442260442260443</v>
      </c>
      <c r="AR75" s="35">
        <v>9.1</v>
      </c>
      <c r="AS75" s="36">
        <f t="shared" si="58"/>
        <v>0.0833333333333333</v>
      </c>
      <c r="AT75" s="35">
        <f t="shared" si="59"/>
        <v>105.95</v>
      </c>
      <c r="AU75" s="36">
        <f t="shared" si="60"/>
        <v>0.0834441149401779</v>
      </c>
      <c r="AV75" s="47"/>
      <c r="AW75" s="35">
        <v>8.49</v>
      </c>
      <c r="AX75" s="36"/>
      <c r="AY75" s="35">
        <v>7.3</v>
      </c>
      <c r="AZ75" s="36"/>
      <c r="BA75" s="35">
        <v>7.25</v>
      </c>
      <c r="BB75" s="36"/>
      <c r="BC75" s="35">
        <v>7.6</v>
      </c>
      <c r="BD75" s="36"/>
      <c r="BE75" s="35">
        <v>8.1</v>
      </c>
      <c r="BF75" s="36"/>
      <c r="BG75" s="35">
        <v>8.3</v>
      </c>
      <c r="BH75" s="36"/>
      <c r="BI75" s="35">
        <v>8.93</v>
      </c>
      <c r="BJ75" s="36">
        <f>BI75/CD75-1</f>
        <v>-0.00334821428571441</v>
      </c>
      <c r="BK75" s="35">
        <v>8.28</v>
      </c>
      <c r="BL75" s="36">
        <f>BK75/CE75-1</f>
        <v>-0.0048076923076924</v>
      </c>
      <c r="BM75" s="35">
        <v>8.6</v>
      </c>
      <c r="BN75" s="36">
        <f>BM75/CF75-1</f>
        <v>0.0617283950617284</v>
      </c>
      <c r="BO75" s="35">
        <v>8.4</v>
      </c>
      <c r="BP75" s="36">
        <f>BO75/CG75-1</f>
        <v>-0.0718232044198895</v>
      </c>
      <c r="BQ75" s="35">
        <v>8.14</v>
      </c>
      <c r="BR75" s="36">
        <f>BQ75/CH75-1</f>
        <v>-0.104510451045104</v>
      </c>
      <c r="BS75" s="35">
        <v>8.4</v>
      </c>
      <c r="BT75" s="36">
        <f>BS75/CI75-1</f>
        <v>-0.0117647058823529</v>
      </c>
      <c r="BU75" s="35">
        <f t="shared" si="61"/>
        <v>97.79</v>
      </c>
      <c r="BV75" s="221"/>
      <c r="BW75" s="222"/>
      <c r="BX75" s="227"/>
      <c r="BY75" s="49"/>
      <c r="BZ75" s="49"/>
      <c r="CA75" s="49"/>
      <c r="CB75" s="49"/>
      <c r="CC75" s="49"/>
      <c r="CD75" s="50">
        <v>8.96</v>
      </c>
      <c r="CE75" s="50">
        <v>8.32</v>
      </c>
      <c r="CF75" s="50">
        <v>8.1</v>
      </c>
      <c r="CG75" s="50">
        <v>9.05</v>
      </c>
      <c r="CH75" s="50">
        <v>9.09</v>
      </c>
      <c r="CI75" s="50">
        <v>8.5</v>
      </c>
      <c r="CJ75" s="35">
        <f>BX75+BY75+BZ75+CA75+CB75+CC75+CD75+CE75+CF75+CG75+CH75+CI75</f>
        <v>52.02</v>
      </c>
    </row>
    <row r="76" s="206" customFormat="1" ht="27" customHeight="1" spans="1:88">
      <c r="A76" s="29"/>
      <c r="B76" s="34" t="s">
        <v>276</v>
      </c>
      <c r="C76" s="35">
        <v>67.88</v>
      </c>
      <c r="D76" s="36">
        <f t="shared" si="42"/>
        <v>0.138353177930572</v>
      </c>
      <c r="E76" s="35">
        <v>46.5</v>
      </c>
      <c r="F76" s="36">
        <f t="shared" si="43"/>
        <v>-0.0855457227138643</v>
      </c>
      <c r="G76" s="225">
        <v>69</v>
      </c>
      <c r="H76" s="36">
        <f t="shared" si="44"/>
        <v>0.00539122832580508</v>
      </c>
      <c r="I76" s="35">
        <v>67.5</v>
      </c>
      <c r="J76" s="36">
        <f t="shared" si="45"/>
        <v>-0.032258064516129</v>
      </c>
      <c r="K76" s="35">
        <v>68.25</v>
      </c>
      <c r="L76" s="36">
        <f t="shared" si="46"/>
        <v>-0.0714285714285714</v>
      </c>
      <c r="M76" s="224">
        <v>70.35</v>
      </c>
      <c r="N76" s="36">
        <f t="shared" si="47"/>
        <v>-0.010548523206751</v>
      </c>
      <c r="O76" s="35">
        <v>73.5</v>
      </c>
      <c r="P76" s="36">
        <f t="shared" si="48"/>
        <v>0</v>
      </c>
      <c r="Q76" s="175"/>
      <c r="R76" s="127"/>
      <c r="S76" s="35">
        <f t="shared" si="49"/>
        <v>462.98</v>
      </c>
      <c r="T76" s="36">
        <f t="shared" si="50"/>
        <v>-0.129229438206474</v>
      </c>
      <c r="U76" s="38"/>
      <c r="V76" s="35">
        <v>59.63</v>
      </c>
      <c r="W76" s="36">
        <f t="shared" si="51"/>
        <v>-0.0635992462311558</v>
      </c>
      <c r="X76" s="35">
        <v>50.85</v>
      </c>
      <c r="Y76" s="36">
        <f>X76/AY76-1</f>
        <v>-0.0712328767123287</v>
      </c>
      <c r="Z76" s="35">
        <v>68.63</v>
      </c>
      <c r="AA76" s="36">
        <f>Z76/BA76-1</f>
        <v>0.262044869437293</v>
      </c>
      <c r="AB76" s="35">
        <v>69.75</v>
      </c>
      <c r="AC76" s="36">
        <f>AB76/BC76-1</f>
        <v>0.223684210526316</v>
      </c>
      <c r="AD76" s="35">
        <v>73.5</v>
      </c>
      <c r="AE76" s="36">
        <f>AD76/BE76-1</f>
        <v>0.209876543209877</v>
      </c>
      <c r="AF76" s="224">
        <v>71.1</v>
      </c>
      <c r="AG76" s="36">
        <f t="shared" si="52"/>
        <v>0.142168674698795</v>
      </c>
      <c r="AH76" s="35">
        <v>73.5</v>
      </c>
      <c r="AI76" s="36">
        <f t="shared" si="53"/>
        <v>0.0973424902956106</v>
      </c>
      <c r="AJ76" s="35">
        <v>64.73</v>
      </c>
      <c r="AK76" s="36">
        <f t="shared" si="54"/>
        <v>0.0423510466988728</v>
      </c>
      <c r="AL76" s="35">
        <v>65.7</v>
      </c>
      <c r="AM76" s="36">
        <f t="shared" si="55"/>
        <v>0.0186046511627906</v>
      </c>
      <c r="AN76" s="35">
        <v>65.25</v>
      </c>
      <c r="AO76" s="36">
        <f t="shared" si="56"/>
        <v>0.0357142857142858</v>
      </c>
      <c r="AP76" s="35">
        <v>63.75</v>
      </c>
      <c r="AQ76" s="36">
        <f t="shared" si="57"/>
        <v>0.0442260442260443</v>
      </c>
      <c r="AR76" s="35">
        <v>68.25</v>
      </c>
      <c r="AS76" s="36">
        <f t="shared" si="58"/>
        <v>0.0833333333333333</v>
      </c>
      <c r="AT76" s="35">
        <f t="shared" si="59"/>
        <v>794.64</v>
      </c>
      <c r="AU76" s="36">
        <f t="shared" si="60"/>
        <v>0.0834424083769634</v>
      </c>
      <c r="AV76" s="47"/>
      <c r="AW76" s="35">
        <v>63.68</v>
      </c>
      <c r="AX76" s="36"/>
      <c r="AY76" s="35">
        <v>54.75</v>
      </c>
      <c r="AZ76" s="36"/>
      <c r="BA76" s="35">
        <v>54.38</v>
      </c>
      <c r="BB76" s="36"/>
      <c r="BC76" s="35">
        <v>57</v>
      </c>
      <c r="BD76" s="36"/>
      <c r="BE76" s="35">
        <v>60.75</v>
      </c>
      <c r="BF76" s="36"/>
      <c r="BG76" s="35">
        <v>62.25</v>
      </c>
      <c r="BH76" s="36"/>
      <c r="BI76" s="35">
        <v>66.98</v>
      </c>
      <c r="BJ76" s="36"/>
      <c r="BK76" s="35">
        <v>62.1</v>
      </c>
      <c r="BL76" s="36"/>
      <c r="BM76" s="35">
        <v>64.5</v>
      </c>
      <c r="BN76" s="36"/>
      <c r="BO76" s="35">
        <v>63</v>
      </c>
      <c r="BP76" s="37"/>
      <c r="BQ76" s="35">
        <v>61.05</v>
      </c>
      <c r="BR76" s="36"/>
      <c r="BS76" s="35">
        <v>63</v>
      </c>
      <c r="BT76" s="36"/>
      <c r="BU76" s="35">
        <f t="shared" si="61"/>
        <v>733.44</v>
      </c>
      <c r="BV76" s="221"/>
      <c r="BW76" s="222"/>
      <c r="BX76" s="228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7"/>
    </row>
    <row r="77" s="206" customFormat="1" spans="1:88">
      <c r="A77" s="229"/>
      <c r="B77" s="229"/>
      <c r="D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127"/>
      <c r="S77" s="127"/>
      <c r="T77" s="230"/>
      <c r="U77" s="229"/>
      <c r="W77" s="230"/>
      <c r="Y77" s="230"/>
      <c r="AA77" s="230"/>
      <c r="AC77" s="230"/>
      <c r="AE77" s="230"/>
      <c r="AG77" s="230"/>
      <c r="AI77" s="230"/>
      <c r="AK77" s="230"/>
      <c r="AM77" s="230"/>
      <c r="AO77" s="230"/>
      <c r="AQ77" s="230"/>
      <c r="AR77" s="127"/>
      <c r="AS77" s="230"/>
      <c r="AT77" s="231"/>
      <c r="AU77" s="230"/>
      <c r="AV77" s="231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K1" activePane="topRight" state="frozen"/>
      <selection/>
      <selection pane="topRight" activeCell="S31" sqref="S31"/>
    </sheetView>
  </sheetViews>
  <sheetFormatPr defaultColWidth="9" defaultRowHeight="14.4"/>
  <cols>
    <col min="1" max="1" width="7.33333333333333" style="16" customWidth="1"/>
    <col min="2" max="2" width="11.6666666666667" style="16" customWidth="1"/>
    <col min="3" max="3" width="11" style="16" customWidth="1"/>
    <col min="4" max="4" width="10.8888888888889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33333333333" style="16" hidden="1" customWidth="1"/>
    <col min="9" max="9" width="11" style="16" customWidth="1"/>
    <col min="10" max="10" width="10.4444444444444" style="16" hidden="1" customWidth="1"/>
    <col min="11" max="11" width="11" style="16" customWidth="1"/>
    <col min="13" max="13" width="11" style="16" customWidth="1"/>
    <col min="15" max="15" width="11" style="16" customWidth="1"/>
    <col min="19" max="19" width="11.7777777777778" style="16" customWidth="1"/>
    <col min="20" max="20" width="12" style="16" customWidth="1"/>
    <col min="21" max="21" width="11.4444444444444" style="16" customWidth="1"/>
    <col min="22" max="22" width="11" style="16" customWidth="1"/>
    <col min="23" max="23" width="12" style="16" customWidth="1"/>
    <col min="24" max="24" width="11" style="16" customWidth="1"/>
    <col min="25" max="25" width="11.5555555555556" style="16" customWidth="1"/>
    <col min="26" max="26" width="11" style="16" customWidth="1"/>
    <col min="27" max="27" width="11.5555555555556" style="16" customWidth="1"/>
    <col min="28" max="28" width="11" style="16" customWidth="1"/>
    <col min="29" max="29" width="11.5555555555556" style="16" customWidth="1"/>
    <col min="30" max="30" width="11" style="16" customWidth="1"/>
    <col min="31" max="31" width="11.5555555555556" style="16" customWidth="1"/>
    <col min="32" max="32" width="11" style="16" customWidth="1"/>
    <col min="33" max="33" width="11.5555555555556" style="16" customWidth="1"/>
    <col min="34" max="34" width="11" style="16" customWidth="1"/>
    <col min="35" max="35" width="11.5555555555556" style="16" customWidth="1"/>
    <col min="36" max="36" width="11" style="16" customWidth="1"/>
    <col min="37" max="37" width="11.5555555555556" style="16" customWidth="1"/>
    <col min="38" max="38" width="11" style="16" customWidth="1"/>
    <col min="39" max="39" width="11.5555555555556" style="16" customWidth="1"/>
    <col min="40" max="40" width="11" style="16" customWidth="1"/>
    <col min="41" max="41" width="11.5555555555556" style="16" customWidth="1"/>
    <col min="42" max="42" width="11" style="16" customWidth="1"/>
    <col min="43" max="43" width="11.5555555555556" style="16" customWidth="1"/>
    <col min="44" max="44" width="11" style="16" customWidth="1"/>
    <col min="45" max="45" width="11.5555555555556" style="16" customWidth="1"/>
    <col min="46" max="46" width="12" style="16" customWidth="1"/>
    <col min="47" max="47" width="10.7777777777778" style="16" customWidth="1"/>
    <col min="48" max="48" width="11.8888888888889" style="16" customWidth="1"/>
    <col min="49" max="49" width="11" style="16" customWidth="1"/>
    <col min="50" max="50" width="13.1111111111111" style="16" customWidth="1"/>
    <col min="51" max="51" width="11" style="16" customWidth="1"/>
    <col min="52" max="52" width="10" style="16" customWidth="1"/>
    <col min="53" max="53" width="11" style="16" customWidth="1"/>
    <col min="54" max="54" width="11.2222222222222" style="16" customWidth="1"/>
    <col min="55" max="55" width="11" style="16" customWidth="1"/>
    <col min="56" max="56" width="13.1111111111111" style="16" customWidth="1"/>
    <col min="57" max="57" width="11" style="16" customWidth="1"/>
    <col min="58" max="58" width="10.2222222222222" style="16" customWidth="1"/>
    <col min="59" max="59" width="11" style="16" customWidth="1"/>
    <col min="60" max="60" width="12.3333333333333" style="16" customWidth="1"/>
    <col min="61" max="61" width="11" style="16" customWidth="1"/>
    <col min="62" max="62" width="11.4444444444444" style="16" customWidth="1"/>
    <col min="63" max="63" width="11" style="16" customWidth="1"/>
    <col min="64" max="64" width="13.1111111111111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55555555556" style="16" customWidth="1"/>
    <col min="86" max="86" width="11" style="16" customWidth="1"/>
    <col min="87" max="87" width="11.5555555555556" style="16" customWidth="1"/>
    <col min="88" max="88" width="13" style="16" customWidth="1"/>
    <col min="89" max="89" width="9" style="16" customWidth="1"/>
  </cols>
  <sheetData>
    <row r="1" ht="25.8" customHeight="1" spans="1:88">
      <c r="A1" s="172" t="s">
        <v>277</v>
      </c>
      <c r="C1" s="173"/>
      <c r="D1" s="174"/>
      <c r="E1" s="173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5"/>
      <c r="R1" s="127"/>
      <c r="S1" s="173"/>
      <c r="T1" s="174"/>
      <c r="U1" s="176"/>
      <c r="V1" s="173"/>
      <c r="W1" s="174"/>
      <c r="X1" s="173"/>
      <c r="Y1" s="174"/>
      <c r="Z1" s="173"/>
      <c r="AA1" s="174"/>
      <c r="AB1" s="173"/>
      <c r="AC1" s="174"/>
      <c r="AD1" s="173"/>
      <c r="AE1" s="174"/>
      <c r="AF1" s="173"/>
      <c r="AG1" s="174"/>
      <c r="AH1" s="173"/>
      <c r="AI1" s="174"/>
      <c r="AJ1" s="173"/>
      <c r="AK1" s="174"/>
      <c r="AL1" s="173"/>
      <c r="AM1" s="174"/>
      <c r="AN1" s="173"/>
      <c r="AO1" s="174"/>
      <c r="AP1" s="173"/>
      <c r="AQ1" s="174"/>
      <c r="AR1" s="173"/>
      <c r="AS1" s="174"/>
      <c r="AT1" s="173"/>
      <c r="AU1" s="174"/>
      <c r="AV1" s="177"/>
      <c r="AX1" s="6"/>
      <c r="AZ1" s="6"/>
      <c r="BB1" s="6"/>
      <c r="BD1" s="6"/>
      <c r="BF1" s="6"/>
      <c r="BH1" s="6"/>
      <c r="BJ1" s="6"/>
      <c r="BL1" s="6"/>
      <c r="BN1" s="6"/>
    </row>
    <row r="2" ht="21" customHeight="1" spans="1:88">
      <c r="A2" s="21"/>
      <c r="B2" s="21"/>
      <c r="C2" s="173"/>
      <c r="D2" s="174"/>
      <c r="E2" s="173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  <c r="R2" s="127"/>
      <c r="S2" s="173"/>
      <c r="T2" s="174"/>
      <c r="U2" s="176"/>
      <c r="V2" s="173"/>
      <c r="W2" s="174"/>
      <c r="X2" s="173"/>
      <c r="Y2" s="174"/>
      <c r="Z2" s="173"/>
      <c r="AA2" s="174"/>
      <c r="AB2" s="173"/>
      <c r="AC2" s="174"/>
      <c r="AD2" s="173"/>
      <c r="AE2" s="174"/>
      <c r="AF2" s="173"/>
      <c r="AG2" s="174"/>
      <c r="AH2" s="173"/>
      <c r="AI2" s="174"/>
      <c r="AJ2" s="173"/>
      <c r="AK2" s="174"/>
      <c r="AL2" s="173"/>
      <c r="AM2" s="174"/>
      <c r="AN2" s="173"/>
      <c r="AO2" s="174"/>
      <c r="AP2" s="173"/>
      <c r="AQ2" s="174"/>
      <c r="AR2" s="173"/>
      <c r="AS2" s="174"/>
      <c r="AT2" s="173"/>
      <c r="AU2" s="174"/>
      <c r="AV2" s="177"/>
    </row>
    <row r="3" ht="24" customHeight="1" spans="1:88">
      <c r="A3" s="22" t="s">
        <v>1</v>
      </c>
      <c r="B3" s="178" t="s">
        <v>2</v>
      </c>
      <c r="C3" s="179">
        <v>46023</v>
      </c>
      <c r="D3" s="180" t="s">
        <v>3</v>
      </c>
      <c r="E3" s="179">
        <v>46054</v>
      </c>
      <c r="F3" s="180" t="s">
        <v>4</v>
      </c>
      <c r="G3" s="181">
        <v>46082</v>
      </c>
      <c r="H3" s="180" t="s">
        <v>5</v>
      </c>
      <c r="I3" s="181">
        <v>46113</v>
      </c>
      <c r="J3" s="180" t="s">
        <v>6</v>
      </c>
      <c r="K3" s="181">
        <v>46143</v>
      </c>
      <c r="L3" s="180" t="s">
        <v>7</v>
      </c>
      <c r="M3" s="181">
        <v>46174</v>
      </c>
      <c r="N3" s="180" t="s">
        <v>8</v>
      </c>
      <c r="O3" s="181">
        <v>46204</v>
      </c>
      <c r="P3" s="180" t="s">
        <v>9</v>
      </c>
      <c r="Q3" s="181">
        <v>46235</v>
      </c>
      <c r="R3" s="180" t="s">
        <v>10</v>
      </c>
      <c r="S3" s="182" t="s">
        <v>204</v>
      </c>
      <c r="T3" s="183" t="s">
        <v>205</v>
      </c>
      <c r="U3" s="184"/>
      <c r="V3" s="185" t="s">
        <v>13</v>
      </c>
      <c r="W3" s="180" t="s">
        <v>3</v>
      </c>
      <c r="X3" s="185" t="s">
        <v>14</v>
      </c>
      <c r="Y3" s="180" t="s">
        <v>4</v>
      </c>
      <c r="Z3" s="179">
        <v>45717</v>
      </c>
      <c r="AA3" s="180" t="s">
        <v>5</v>
      </c>
      <c r="AB3" s="179">
        <v>45748</v>
      </c>
      <c r="AC3" s="180" t="s">
        <v>6</v>
      </c>
      <c r="AD3" s="179">
        <v>45778</v>
      </c>
      <c r="AE3" s="180" t="s">
        <v>7</v>
      </c>
      <c r="AF3" s="179">
        <v>45809</v>
      </c>
      <c r="AG3" s="180" t="s">
        <v>8</v>
      </c>
      <c r="AH3" s="186">
        <v>45839</v>
      </c>
      <c r="AI3" s="187" t="s">
        <v>9</v>
      </c>
      <c r="AJ3" s="186">
        <v>45870</v>
      </c>
      <c r="AK3" s="187" t="s">
        <v>10</v>
      </c>
      <c r="AL3" s="186">
        <v>45901</v>
      </c>
      <c r="AM3" s="187" t="s">
        <v>22</v>
      </c>
      <c r="AN3" s="186">
        <v>45931</v>
      </c>
      <c r="AO3" s="187" t="s">
        <v>24</v>
      </c>
      <c r="AP3" s="186">
        <v>45962</v>
      </c>
      <c r="AQ3" s="187" t="s">
        <v>26</v>
      </c>
      <c r="AR3" s="186">
        <v>45992</v>
      </c>
      <c r="AS3" s="187" t="s">
        <v>28</v>
      </c>
      <c r="AT3" s="188" t="s">
        <v>51</v>
      </c>
      <c r="AU3" s="189" t="s">
        <v>44</v>
      </c>
      <c r="AV3" s="127"/>
      <c r="AW3" s="190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32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1"/>
      <c r="R4" s="31"/>
      <c r="S4" s="29"/>
      <c r="T4" s="30"/>
      <c r="U4" s="19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55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32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69" customFormat="1" ht="27" customHeight="1" spans="1:88">
      <c r="A5" s="33" t="s">
        <v>80</v>
      </c>
      <c r="B5" s="193" t="s">
        <v>278</v>
      </c>
      <c r="C5" s="38">
        <f>C9+C13+C17+C21+C25+C29+C33+C37+C41+C45+C49+C53+C57+C61+C65+C69+C73</f>
        <v>6111.98</v>
      </c>
      <c r="D5" s="36">
        <f t="shared" ref="D5:D36" si="0">C5/V5-1</f>
        <v>-0.137986136086371</v>
      </c>
      <c r="E5" s="38">
        <f>E9+E13+E17+E21+E25+E29+E33+E37+E41+E45+E49+E53+E57+E61+E65+E69+E73</f>
        <v>6252.14</v>
      </c>
      <c r="F5" s="36">
        <f t="shared" ref="F5:F36" si="1">E5/X5-1</f>
        <v>-0.0602595801925435</v>
      </c>
      <c r="G5" s="38">
        <f>G9+G13+G17+G21+G25+G29+G33+G37+G41+G45+G49+G53+G57+G61+G65+G69+G73</f>
        <v>6143.61</v>
      </c>
      <c r="H5" s="36">
        <f t="shared" ref="H5:H36" si="2">G5/Z5-1</f>
        <v>-0.0807217630194459</v>
      </c>
      <c r="I5" s="38">
        <f>I9+I13+I17+I21+I25+I29+I33+I37+I41+I45+I49+I53+I57+I61+I65+I69+I73</f>
        <v>6014.76</v>
      </c>
      <c r="J5" s="36">
        <f t="shared" ref="J5:J36" si="3">I5/AB5-1</f>
        <v>-0.0676424130346156</v>
      </c>
      <c r="K5" s="38">
        <f>K9+K13+K17+K21+K25+K29+K33+K37+K41+K45+K49+K53+K57+K61+K65+K69+K73</f>
        <v>6027.93</v>
      </c>
      <c r="L5" s="36">
        <f t="shared" ref="L5:L36" si="4">K5/AD5-1</f>
        <v>-0.0852691415876561</v>
      </c>
      <c r="M5" s="38">
        <f>M9+M13+M17+M21+M25+M29+M33+M37+M41+M45+M49+M53+M57+M61+M65+M69+M73</f>
        <v>5871.55</v>
      </c>
      <c r="N5" s="36">
        <f t="shared" ref="N5:N36" si="5">M5/AF5-1</f>
        <v>-0.072496757754929</v>
      </c>
      <c r="O5" s="38">
        <f>O9+O13+O17+O21+O25+O29+O33+O37+O41+O45+O49+O53+O57+O61+O65+O69+O73</f>
        <v>5860.24</v>
      </c>
      <c r="P5" s="36">
        <f t="shared" ref="P5:P36" si="6">O5/AH5-1</f>
        <v>-0.0775633558948529</v>
      </c>
      <c r="Q5" s="175"/>
      <c r="R5" s="127"/>
      <c r="S5" s="131">
        <f t="shared" ref="S5:S36" si="7">C5+E5+G5+I5+K5+M5+O5+Q5</f>
        <v>42282.21</v>
      </c>
      <c r="T5" s="132">
        <f t="shared" ref="T5:T36" si="8">S5/SUM(V5+X5+Z5+AB5+AD5+AF5+AH5+AJ5)-1</f>
        <v>-0.194028305893351</v>
      </c>
      <c r="U5" s="35"/>
      <c r="V5" s="38">
        <f>V9+V13+V17+V21+V25+V29+V33+V37+V41+V45+V49+V53+V57+V61+V65+V69+V73</f>
        <v>7090.35</v>
      </c>
      <c r="W5" s="36">
        <f t="shared" ref="W5:W36" si="9">V5/AW5-1</f>
        <v>-0.0753494328481222</v>
      </c>
      <c r="X5" s="38">
        <f>X9+X13+X17+X21+X25+X29+X33+X37+X41+X45+X49+X53+X57+X61+X65+X69+X73</f>
        <v>6653.05</v>
      </c>
      <c r="Y5" s="36">
        <f t="shared" ref="Y5:Y36" si="10">X5/AY5-1</f>
        <v>-0.101606913780298</v>
      </c>
      <c r="Z5" s="38">
        <f>Z9+Z13+Z17+Z21+Z25+Z29+Z33+Z37+Z41+Z45+Z49+Z53+Z57+Z61+Z65+Z69+Z73</f>
        <v>6683.08</v>
      </c>
      <c r="AA5" s="36">
        <f t="shared" ref="AA5:AA36" si="11">Z5/BA5-1</f>
        <v>-0.0767313669959245</v>
      </c>
      <c r="AB5" s="38">
        <f>AB9+AB13+AB17+AB21+AB25+AB29+AB33+AB37+AB41+AB45+AB49+AB53+AB57+AB61+AB65+AB69+AB73</f>
        <v>6451.13</v>
      </c>
      <c r="AC5" s="36">
        <f t="shared" ref="AC5:AC36" si="12">AB5/BC5-1</f>
        <v>-0.0789665673457326</v>
      </c>
      <c r="AD5" s="38">
        <f>AD9+AD13+AD17+AD21+AD25+AD29+AD33+AD37+AD41+AD45+AD49+AD53+AD57+AD61+AD65+AD69+AD73</f>
        <v>6589.84</v>
      </c>
      <c r="AE5" s="36">
        <f t="shared" ref="AE5:AE36" si="13">AD5/BE5-1</f>
        <v>-0.0420853102614195</v>
      </c>
      <c r="AF5" s="38">
        <f>AF9+AF13+AF17+AF21+AF25+AF29+AF33+AF37+AF41+AF45+AF49+AF53+AF57+AF61+AF65+AF69+AF73</f>
        <v>6330.49</v>
      </c>
      <c r="AG5" s="36">
        <f t="shared" ref="AG5:AG36" si="14">AF5/BG5-1</f>
        <v>-0.0652888742549099</v>
      </c>
      <c r="AH5" s="38">
        <f>AH9+AH13+AH17+AH21+AH25+AH29+AH33+AH37+AH41+AH45+AH49+AH53+AH57+AH61+AH65+AH69+AH73</f>
        <v>6353</v>
      </c>
      <c r="AI5" s="36">
        <f t="shared" ref="AI5:AI36" si="15">AH5/BI5-1</f>
        <v>-0.0792219838831241</v>
      </c>
      <c r="AJ5" s="38">
        <f>AJ9+AJ13+AJ17+AJ21+AJ25+AJ29+AJ33+AJ37+AJ41+AJ45+AJ49+AJ53+AJ57+AJ61+AJ65+AJ69+AJ73</f>
        <v>6310.22</v>
      </c>
      <c r="AK5" s="36">
        <f t="shared" ref="AK5:AK36" si="16">AJ5/BK5-1</f>
        <v>-0.0642598271536101</v>
      </c>
      <c r="AL5" s="38">
        <f>AL9+AL13+AL17+AL21+AL25+AL29+AL33+AL37+AL41+AL45+AL49+AL53+AL57+AL61+AL65+AL69+AL73</f>
        <v>6176.05</v>
      </c>
      <c r="AM5" s="36">
        <f t="shared" ref="AM5:AM36" si="17">AL5/BM5-1</f>
        <v>-0.0471029139036067</v>
      </c>
      <c r="AN5" s="38">
        <f>AN9+AN13+AN17+AN21+AN25+AN29+AN33+AN37+AN41+AN45+AN49+AN53+AN57+AN61+AN65+AN69+AN73</f>
        <v>6466.83</v>
      </c>
      <c r="AO5" s="36">
        <f t="shared" ref="AO5:AO36" si="18">AN5/BO5-1</f>
        <v>-0.0332474739245023</v>
      </c>
      <c r="AP5" s="38">
        <f>AP9+AP13+AP17+AP21+AP25+AP29+AP33+AP37+AP41+AP45+AP49+AP53+AP57+AP61+AP65+AP69+AP73</f>
        <v>6094.85</v>
      </c>
      <c r="AQ5" s="36">
        <f t="shared" ref="AQ5:AQ36" si="19">AP5/BQ5-1</f>
        <v>-0.0445401060045744</v>
      </c>
      <c r="AR5" s="38">
        <f>AR9+AR13+AR17+AR21+AR25+AR29+AR33+AR37+AR41+AR45+AR49+AR53+AR57+AR61+AR65+AR69+AR73</f>
        <v>6053.98</v>
      </c>
      <c r="AS5" s="36">
        <f t="shared" ref="AS5:AS36" si="20">AR5/BS5-1</f>
        <v>-0.0819986837995131</v>
      </c>
      <c r="AT5" s="35">
        <f t="shared" ref="AT5:AT36" si="21">V5+X5+Z5+AB5+AD5+AF5+AH5+AJ5+AL5+AN5+AP5+AR5</f>
        <v>77252.87</v>
      </c>
      <c r="AU5" s="36">
        <f t="shared" ref="AU5:AU36" si="22">AT5/(AW5+AY5+BA5+BC5+BE5+BG5+BI5+BK5+BM5+BO5+BQ5+BS5)-1</f>
        <v>-0.0664964551142252</v>
      </c>
      <c r="AV5" s="194"/>
      <c r="AW5" s="38">
        <f>AW9+AW13+AW17+AW21+AW25+AW29+AW33+AW37+AW41+AW45+AW49+AW53+AW57+AW61+AW65+AW69+AW73</f>
        <v>7668.14</v>
      </c>
      <c r="AX5" s="37">
        <f>AW5/BX5-1</f>
        <v>0.0489773751694569</v>
      </c>
      <c r="AY5" s="38">
        <f>AY9+AY13+AY17+AY21+AY25+AY29+AY33+AY37+AY41+AY45+AY49+AY53+AY57+AY61+AY65+AY69+AY73</f>
        <v>7405.5</v>
      </c>
      <c r="AZ5" s="37">
        <f>AY5/BY5-1</f>
        <v>0.0255945068961554</v>
      </c>
      <c r="BA5" s="38">
        <f>BA9+BA13+BA17+BA21+BA25+BA29+BA33+BA37+BA41+BA45+BA49+BA53+BA57+BA61+BA65+BA69+BA73</f>
        <v>7238.5</v>
      </c>
      <c r="BB5" s="37">
        <f>BA5/BZ5-1</f>
        <v>-0.0664312485329356</v>
      </c>
      <c r="BC5" s="38">
        <f>BC9+BC13+BC17+BC21+BC25+BC29+BC33+BC37+BC41+BC45+BC49+BC53+BC57+BC61+BC65+BC69+BC73</f>
        <v>7004.23</v>
      </c>
      <c r="BD5" s="37">
        <f>BC5/CA5-1</f>
        <v>-0.0830659466535756</v>
      </c>
      <c r="BE5" s="38">
        <f>BE9+BE13+BE17+BE21+BE25+BE29+BE33+BE37+BE41+BE45+BE49+BE53+BE57+BE61+BE65+BE69+BE73</f>
        <v>6879.36</v>
      </c>
      <c r="BF5" s="37">
        <f>BE5/CB5-1</f>
        <v>-0.110157948723256</v>
      </c>
      <c r="BG5" s="38">
        <f>BG9+BG13+BG17+BG21+BG25+BG29+BG33+BG37+BG41+BG45+BG49+BG53+BG57+BG61+BG65+BG69+BG73</f>
        <v>6772.67</v>
      </c>
      <c r="BH5" s="37">
        <f>BG5/CC5-1</f>
        <v>-0.0962700139976221</v>
      </c>
      <c r="BI5" s="38">
        <f>BI9+BI13+BI17+BI21+BI25+BI29+BI33+BI37+BI41+BI45+BI49+BI53+BI57+BI61+BI65+BI69+BI73</f>
        <v>6899.6</v>
      </c>
      <c r="BJ5" s="37">
        <f>BI5/CD5-1</f>
        <v>-0.102081080272098</v>
      </c>
      <c r="BK5" s="38">
        <f>BK9+BK13+BK17+BK21+BK25+BK29+BK33+BK37+BK41+BK45+BK49+BK53+BK57+BK61+BK65+BK69+BK73</f>
        <v>6743.56</v>
      </c>
      <c r="BL5" s="37">
        <f>BK5/CE5-1</f>
        <v>-0.12194143811002</v>
      </c>
      <c r="BM5" s="38">
        <f>BM9+BM13+BM17+BM21+BM25+BM29+BM33+BM37+BM41+BM45+BM49+BM53+BM57+BM61+BM65+BM69+BM73</f>
        <v>6481.34</v>
      </c>
      <c r="BN5" s="37">
        <f>BM5/CF5-1</f>
        <v>-0.131684679144779</v>
      </c>
      <c r="BO5" s="38">
        <f>BO9+BO13+BO17+BO21+BO25+BO29+BO33+BO37+BO41+BO45+BO49+BO53+BO57+BO61+BO65+BO69+BO73</f>
        <v>6689.23</v>
      </c>
      <c r="BP5" s="37">
        <f>BO5/CG5-1</f>
        <v>-0.13259359731112</v>
      </c>
      <c r="BQ5" s="38">
        <f>BQ9+BQ13+BQ17+BQ21+BQ25+BQ29+BQ33+BQ37+BQ41+BQ45+BQ49+BQ53+BQ57+BQ61+BQ65+BQ69+BQ73</f>
        <v>6378.97</v>
      </c>
      <c r="BR5" s="37">
        <f>BQ5/CH5-1</f>
        <v>-0.130840522996931</v>
      </c>
      <c r="BS5" s="38">
        <f>BS9+BS13+BS17+BS21+BS25+BS29+BS33+BS37+BS41+BS45+BS49+BS53+BS57+BS61+BS65+BS69+BS73</f>
        <v>6594.74</v>
      </c>
      <c r="BT5" s="37">
        <f>BS5/CI5-1</f>
        <v>-0.116721870935856</v>
      </c>
      <c r="BU5" s="38">
        <f t="shared" ref="BU5:BU36" si="23">AW5+AY5+BA5+BC5+BE5+BG5+BI5+BK5+BM5+BO5+BQ5+BS5</f>
        <v>82755.84</v>
      </c>
      <c r="BV5" s="37">
        <f>BU5/CJ5-1</f>
        <v>-0.0855081784608449</v>
      </c>
      <c r="BW5" s="39"/>
      <c r="BX5" s="195">
        <f t="shared" ref="BX5:CI5" si="24">BX9+BX13+BX17+BX21+BX25+BX29+BX33+BX37+BX41+BX45+BX49+BX53+BX57+BX61+BX65+BX69+BX73</f>
        <v>7310.11</v>
      </c>
      <c r="BY5" s="195">
        <f t="shared" si="24"/>
        <v>7220.69</v>
      </c>
      <c r="BZ5" s="195">
        <f t="shared" si="24"/>
        <v>7753.58</v>
      </c>
      <c r="CA5" s="195">
        <f t="shared" si="24"/>
        <v>7638.75</v>
      </c>
      <c r="CB5" s="195">
        <f t="shared" si="24"/>
        <v>7730.99</v>
      </c>
      <c r="CC5" s="195">
        <f t="shared" si="24"/>
        <v>7494.13</v>
      </c>
      <c r="CD5" s="195">
        <f t="shared" si="24"/>
        <v>7683.99</v>
      </c>
      <c r="CE5" s="195">
        <f t="shared" si="24"/>
        <v>7680.08</v>
      </c>
      <c r="CF5" s="195">
        <f t="shared" si="24"/>
        <v>7464.27</v>
      </c>
      <c r="CG5" s="195">
        <f t="shared" si="24"/>
        <v>7711.76</v>
      </c>
      <c r="CH5" s="195">
        <f t="shared" si="24"/>
        <v>7339.24</v>
      </c>
      <c r="CI5" s="195">
        <f t="shared" si="24"/>
        <v>7466.21</v>
      </c>
      <c r="CJ5" s="38">
        <f>BX5+BY5+BZ5+CA5+CB5+CC5+CD5+CE5+CF5+CG5+CH5+CI5</f>
        <v>90493.8</v>
      </c>
    </row>
    <row r="6" s="170" customFormat="1" ht="27" customHeight="1" spans="1:88">
      <c r="A6" s="27"/>
      <c r="B6" s="193" t="s">
        <v>279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175"/>
      <c r="R6" s="127"/>
      <c r="S6" s="35">
        <f t="shared" si="7"/>
        <v>246892.32</v>
      </c>
      <c r="T6" s="132">
        <f t="shared" si="8"/>
        <v>-0.211220026906253</v>
      </c>
      <c r="U6" s="35"/>
      <c r="V6" s="35">
        <f>V10+V14+V18+V22+V26+V30+V34+V38+V42+V46+V50+V54+V58+V62+V66+V70+V74</f>
        <v>42840.41</v>
      </c>
      <c r="W6" s="36">
        <f t="shared" si="9"/>
        <v>-0.0581498934382871</v>
      </c>
      <c r="X6" s="35">
        <f>X10+X14+X18+X22+X26+X30+X34+X38+X42+X46+X50+X54+X58+X62+X66+X70+X74</f>
        <v>39901.81</v>
      </c>
      <c r="Y6" s="36">
        <f t="shared" si="10"/>
        <v>-0.0765492093629494</v>
      </c>
      <c r="Z6" s="35">
        <f>Z10+Z14+Z18+Z22+Z26+Z30+Z34+Z38+Z42+Z46+Z50+Z54+Z58+Z62+Z66+Z70+Z74</f>
        <v>40231.6</v>
      </c>
      <c r="AA6" s="36">
        <f t="shared" si="11"/>
        <v>-0.0436724559858421</v>
      </c>
      <c r="AB6" s="35">
        <f>AB10+AB14+AB18+AB22+AB26+AB30+AB34+AB38+AB42+AB46+AB50+AB54+AB58+AB62+AB66+AB70+AB74</f>
        <v>38749.71</v>
      </c>
      <c r="AC6" s="36">
        <f t="shared" si="12"/>
        <v>-0.0712692907799712</v>
      </c>
      <c r="AD6" s="35">
        <f>AD10+AD14+AD18+AD22+AD26+AD30+AD34+AD38+AD42+AD46+AD50+AD54+AD58+AD62+AD66+AD70+AD74</f>
        <v>39264.81</v>
      </c>
      <c r="AE6" s="36">
        <f t="shared" si="13"/>
        <v>-0.0423296489736427</v>
      </c>
      <c r="AF6" s="35">
        <f>AF10+AF14+AF18+AF22+AF26+AF30+AF34+AF38+AF42+AF46+AF50+AF54+AF58+AF62+AF66+AF70+AF74</f>
        <v>37470.7</v>
      </c>
      <c r="AG6" s="36">
        <f t="shared" si="14"/>
        <v>-0.0667580547586355</v>
      </c>
      <c r="AH6" s="35">
        <f>AH10+AH14+AH18+AH22+AH26+AH30+AH34+AH38+AH42+AH46+AH50+AH54+AH58+AH62+AH66+AH70+AH74</f>
        <v>37554.75</v>
      </c>
      <c r="AI6" s="36">
        <f t="shared" si="15"/>
        <v>-0.0877708498155492</v>
      </c>
      <c r="AJ6" s="35">
        <f>AJ10+AJ14+AJ18+AJ22+AJ26+AJ30+AJ34+AJ38+AJ42+AJ46+AJ50+AJ54+AJ58+AJ62+AJ66+AJ70+AJ74</f>
        <v>36991.52</v>
      </c>
      <c r="AK6" s="36">
        <f t="shared" si="16"/>
        <v>-0.079089264424457</v>
      </c>
      <c r="AL6" s="35">
        <f>AL10+AL14+AL18+AL22+AL26+AL30+AL34+AL38+AL42+AL46+AL50+AL54+AL58+AL62+AL66+AL70+AL74</f>
        <v>36236.03</v>
      </c>
      <c r="AM6" s="36">
        <f t="shared" si="17"/>
        <v>-0.0615631760968662</v>
      </c>
      <c r="AN6" s="35">
        <f>AN10+AN14+AN18+AN22+AN26+AN30+AN34+AN38+AN42+AN46+AN50+AN54+AN58+AN62+AN66+AN70+AN74</f>
        <v>37642.69</v>
      </c>
      <c r="AO6" s="36">
        <f t="shared" si="18"/>
        <v>-0.0598935388033432</v>
      </c>
      <c r="AP6" s="35">
        <f>AP10+AP14+AP18+AP22+AP26+AP30+AP34+AP38+AP42+AP46+AP50+AP54+AP58+AP62+AP66+AP70+AP74</f>
        <v>35712.72</v>
      </c>
      <c r="AQ6" s="36">
        <f t="shared" si="19"/>
        <v>-0.0651098392640193</v>
      </c>
      <c r="AR6" s="35">
        <f>AR10+AR14+AR18+AR22+AR26+AR30+AR34+AR38+AR42+AR46+AR50+AR54+AR58+AR62+AR66+AR70+AR74</f>
        <v>35489.94</v>
      </c>
      <c r="AS6" s="36">
        <f t="shared" si="20"/>
        <v>-0.10301064408949</v>
      </c>
      <c r="AT6" s="35">
        <f t="shared" si="21"/>
        <v>458086.69</v>
      </c>
      <c r="AU6" s="36">
        <f t="shared" si="22"/>
        <v>-0.0677823146390204</v>
      </c>
      <c r="AV6" s="194"/>
      <c r="AW6" s="35">
        <f>AW10+AW14+AW18+AW22+AW26+AW30+AW34+AW38+AW42+AW46+AW50+AW54+AW58+AW62+AW66+AW70+AW74</f>
        <v>45485.38</v>
      </c>
      <c r="AX6" s="36"/>
      <c r="AY6" s="35">
        <f>AY10+AY14+AY18+AY22+AY26+AY30+AY34+AY38+AY42+AY46+AY50+AY54+AY58+AY62+AY66+AY70+AY74</f>
        <v>43209.46</v>
      </c>
      <c r="AZ6" s="36"/>
      <c r="BA6" s="35">
        <f>BA10+BA14+BA18+BA22+BA26+BA30+BA34+BA38+BA42+BA46+BA50+BA54+BA58+BA62+BA66+BA70+BA74</f>
        <v>42068.85</v>
      </c>
      <c r="BB6" s="36"/>
      <c r="BC6" s="35">
        <f>BC10+BC14+BC18+BC22+BC26+BC30+BC34+BC38+BC42+BC46+BC50+BC54+BC58+BC62+BC66+BC70+BC74</f>
        <v>41723.3</v>
      </c>
      <c r="BD6" s="36"/>
      <c r="BE6" s="35">
        <f>BE10+BE14+BE18+BE22+BE26+BE30+BE34+BE38+BE42+BE46+BE50+BE54+BE58+BE62+BE66+BE70+BE74</f>
        <v>41000.34</v>
      </c>
      <c r="BF6" s="36"/>
      <c r="BG6" s="35">
        <f>BG10+BG14+BG18+BG22+BG26+BG30+BG34+BG38+BG42+BG46+BG50+BG54+BG58+BG62+BG66+BG70+BG74</f>
        <v>40151.11</v>
      </c>
      <c r="BH6" s="36"/>
      <c r="BI6" s="35">
        <f>BI10+BI14+BI18+BI22+BI26+BI30+BI34+BI38+BI42+BI46+BI50+BI54+BI58+BI62+BI66+BI70+BI74</f>
        <v>41168.11</v>
      </c>
      <c r="BJ6" s="36"/>
      <c r="BK6" s="35">
        <f>BK10+BK14+BK18+BK22+BK26+BK30+BK34+BK38+BK42+BK46+BK50+BK54+BK58+BK62+BK66+BK70+BK74</f>
        <v>40168.41</v>
      </c>
      <c r="BL6" s="36"/>
      <c r="BM6" s="35">
        <f>BM10+BM14+BM18+BM22+BM26+BM30+BM34+BM38+BM42+BM46+BM50+BM54+BM58+BM62+BM66+BM70+BM74</f>
        <v>38613.18</v>
      </c>
      <c r="BN6" s="36"/>
      <c r="BO6" s="35">
        <f>BO10+BO14+BO18+BO22+BO26+BO30+BO34+BO38+BO42+BO46+BO50+BO54+BO58+BO62+BO66+BO70+BO74</f>
        <v>40040.88</v>
      </c>
      <c r="BP6" s="37"/>
      <c r="BQ6" s="35">
        <f>BQ10+BQ14+BQ18+BQ22+BQ26+BQ30+BQ34+BQ38+BQ42+BQ46+BQ50+BQ54+BQ58+BQ62+BQ66+BQ70+BQ74</f>
        <v>38199.91</v>
      </c>
      <c r="BR6" s="37"/>
      <c r="BS6" s="35">
        <f>BS10+BS14+BS18+BS22+BS26+BS30+BS34+BS38+BS42+BS46+BS50+BS54+BS58+BS62+BS66+BS70+BS74</f>
        <v>39565.62</v>
      </c>
      <c r="BT6" s="37"/>
      <c r="BU6" s="35">
        <f t="shared" si="23"/>
        <v>491394.55</v>
      </c>
      <c r="BV6" s="36"/>
      <c r="BW6" s="40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4"/>
    </row>
    <row r="7" s="170" customFormat="1" ht="27" customHeight="1" spans="1:88">
      <c r="A7" s="27"/>
      <c r="B7" s="193" t="s">
        <v>280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175"/>
      <c r="R7" s="127"/>
      <c r="S7" s="35">
        <f t="shared" si="7"/>
        <v>38641.26</v>
      </c>
      <c r="T7" s="132">
        <f t="shared" si="8"/>
        <v>-0.205757903006141</v>
      </c>
      <c r="U7" s="35"/>
      <c r="V7" s="35">
        <f>V11+V15+V19+V23+V27+V31+V35+V39+V43+V47+V51+V55+V59+V63+V67+V71+V75</f>
        <v>6680.81</v>
      </c>
      <c r="W7" s="36">
        <f t="shared" si="9"/>
        <v>-0.0770156404776281</v>
      </c>
      <c r="X7" s="35">
        <f>X11+X15+X19+X23+X27+X31+X35+X39+X43+X47+X51+X55+X59+X63+X67+X71+X75</f>
        <v>6204.41</v>
      </c>
      <c r="Y7" s="36">
        <f t="shared" si="10"/>
        <v>-0.11584211043833</v>
      </c>
      <c r="Z7" s="35">
        <f>Z11+Z15+Z19+Z23+Z27+Z31+Z35+Z39+Z43+Z47+Z51+Z55+Z59+Z63+Z67+Z71+Z75</f>
        <v>6265.1</v>
      </c>
      <c r="AA7" s="36">
        <f t="shared" si="11"/>
        <v>-0.0874211793563835</v>
      </c>
      <c r="AB7" s="35">
        <f>AB11+AB15+AB19+AB23+AB27+AB31+AB35+AB39+AB43+AB47+AB51+AB55+AB59+AB63+AB67+AB71+AB75</f>
        <v>6021.36</v>
      </c>
      <c r="AC7" s="36">
        <f t="shared" si="12"/>
        <v>-0.0940159880593598</v>
      </c>
      <c r="AD7" s="35">
        <f>AD11+AD15+AD19+AD23+AD27+AD31+AD35+AD39+AD43+AD47+AD51+AD55+AD59+AD63+AD67+AD71+AD75</f>
        <v>6095.73</v>
      </c>
      <c r="AE7" s="36">
        <f t="shared" si="13"/>
        <v>-0.0633510653009672</v>
      </c>
      <c r="AF7" s="35">
        <f>AF11+AF15+AF19+AF23+AF27+AF31+AF35+AF39+AF43+AF47+AF51+AF55+AF59+AF63+AF67+AF71+AF75</f>
        <v>5891.61</v>
      </c>
      <c r="AG7" s="36">
        <f t="shared" si="14"/>
        <v>-0.0783587693116328</v>
      </c>
      <c r="AH7" s="35">
        <f>AH11+AH15+AH19+AH23+AH27+AH31+AH35+AH39+AH43+AH47+AH51+AH55+AH59+AH63+AH67+AH71+AH75</f>
        <v>5786.14</v>
      </c>
      <c r="AI7" s="36">
        <f t="shared" si="15"/>
        <v>-0.110503369736324</v>
      </c>
      <c r="AJ7" s="35">
        <f>AJ11+AJ15+AJ19+AJ23+AJ27+AJ31+AJ35+AJ39+AJ43+AJ47+AJ51+AJ55+AJ59+AJ63+AJ67+AJ71+AJ75</f>
        <v>5706.58</v>
      </c>
      <c r="AK7" s="36">
        <f t="shared" si="16"/>
        <v>-0.106219957805841</v>
      </c>
      <c r="AL7" s="35">
        <f>AL11+AL15+AL19+AL23+AL27+AL31+AL35+AL39+AL43+AL47+AL51+AL55+AL59+AL63+AL67+AL71+AL75</f>
        <v>5575.37</v>
      </c>
      <c r="AM7" s="36">
        <f t="shared" si="17"/>
        <v>-0.0854036834049923</v>
      </c>
      <c r="AN7" s="35">
        <f>AN11+AN15+AN19+AN23+AN27+AN31+AN35+AN39+AN43+AN47+AN51+AN55+AN59+AN63+AN67+AN71+AN75</f>
        <v>5858.03</v>
      </c>
      <c r="AO7" s="36">
        <f t="shared" si="18"/>
        <v>-0.0692424167796077</v>
      </c>
      <c r="AP7" s="35">
        <f>AP11+AP15+AP19+AP23+AP27+AP31+AP35+AP39+AP43+AP47+AP51+AP55+AP59+AP63+AP67+AP71+AP75</f>
        <v>5522.28</v>
      </c>
      <c r="AQ7" s="36">
        <f t="shared" si="19"/>
        <v>-0.0797503686977679</v>
      </c>
      <c r="AR7" s="35">
        <f>AR11+AR15+AR19+AR23+AR27+AR31+AR35+AR39+AR43+AR47+AR51+AR55+AR59+AR63+AR67+AR71+AR75</f>
        <v>5457.95</v>
      </c>
      <c r="AS7" s="36">
        <f t="shared" si="20"/>
        <v>-0.127649202442221</v>
      </c>
      <c r="AT7" s="35">
        <f t="shared" si="21"/>
        <v>71065.37</v>
      </c>
      <c r="AU7" s="36">
        <f t="shared" si="22"/>
        <v>-0.0912891313298706</v>
      </c>
      <c r="AV7" s="196"/>
      <c r="AW7" s="35">
        <f>AW11+AW15+AW19+AW23+AW27+AW31+AW35+AW39+AW43+AW47+AW51+AW55+AW59+AW63+AW67+AW71+AW75</f>
        <v>7238.27</v>
      </c>
      <c r="AX7" s="36"/>
      <c r="AY7" s="35">
        <f>AY11+AY15+AY19+AY23+AY27+AY31+AY35+AY39+AY43+AY47+AY51+AY55+AY59+AY63+AY67+AY71+AY75</f>
        <v>7017.31</v>
      </c>
      <c r="AZ7" s="36"/>
      <c r="BA7" s="35">
        <f>BA11+BA15+BA19+BA23+BA27+BA31+BA35+BA39+BA43+BA47+BA51+BA55+BA59+BA63+BA67+BA71+BA75</f>
        <v>6865.27</v>
      </c>
      <c r="BB7" s="36"/>
      <c r="BC7" s="35">
        <f>BC11+BC15+BC19+BC23+BC27+BC31+BC35+BC39+BC43+BC47+BC51+BC55+BC59+BC63+BC67+BC71+BC75</f>
        <v>6646.21</v>
      </c>
      <c r="BD7" s="36"/>
      <c r="BE7" s="35">
        <f>BE11+BE15+BE19+BE23+BE27+BE31+BE35+BE39+BE43+BE47+BE51+BE55+BE59+BE63+BE67+BE71+BE75</f>
        <v>6508.02</v>
      </c>
      <c r="BF7" s="36"/>
      <c r="BG7" s="35">
        <f>BG11+BG15+BG19+BG23+BG27+BG31+BG35+BG39+BG43+BG47+BG51+BG55+BG59+BG63+BG67+BG71+BG75</f>
        <v>6392.52</v>
      </c>
      <c r="BH7" s="36"/>
      <c r="BI7" s="35">
        <f>BI11+BI15+BI19+BI23+BI27+BI31+BI35+BI39+BI43+BI47+BI51+BI55+BI59+BI63+BI67+BI71+BI75</f>
        <v>6504.96</v>
      </c>
      <c r="BJ7" s="36"/>
      <c r="BK7" s="35">
        <f>BK11+BK15+BK19+BK23+BK27+BK31+BK35+BK39+BK43+BK47+BK51+BK55+BK59+BK63+BK67+BK71+BK75</f>
        <v>6384.77</v>
      </c>
      <c r="BL7" s="36"/>
      <c r="BM7" s="35">
        <f>BM11+BM15+BM19+BM23+BM27+BM31+BM35+BM39+BM43+BM47+BM51+BM55+BM59+BM63+BM67+BM71+BM75</f>
        <v>6095.99</v>
      </c>
      <c r="BN7" s="36"/>
      <c r="BO7" s="35">
        <f>BO11+BO15+BO19+BO23+BO27+BO31+BO35+BO39+BO43+BO47+BO51+BO55+BO59+BO63+BO67+BO71+BO75</f>
        <v>6293.83</v>
      </c>
      <c r="BP7" s="37"/>
      <c r="BQ7" s="35">
        <f>BQ11+BQ15+BQ19+BQ23+BQ27+BQ31+BQ35+BQ39+BQ43+BQ47+BQ51+BQ55+BQ59+BQ63+BQ67+BQ71+BQ75</f>
        <v>6000.85</v>
      </c>
      <c r="BR7" s="37"/>
      <c r="BS7" s="35">
        <f>BS11+BS15+BS19+BS23+BS27+BS31+BS35+BS39+BS43+BS47+BS51+BS55+BS59+BS63+BS67+BS71+BS75</f>
        <v>6256.6</v>
      </c>
      <c r="BT7" s="37"/>
      <c r="BU7" s="35">
        <f t="shared" si="23"/>
        <v>78204.6</v>
      </c>
      <c r="BV7" s="36"/>
      <c r="BW7" s="40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4"/>
    </row>
    <row r="8" s="170" customFormat="1" ht="27" customHeight="1" spans="1:88">
      <c r="A8" s="42"/>
      <c r="B8" s="193" t="s">
        <v>276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175"/>
      <c r="R8" s="127"/>
      <c r="S8" s="35">
        <f t="shared" si="7"/>
        <v>197337.47</v>
      </c>
      <c r="T8" s="132">
        <f t="shared" si="8"/>
        <v>-0.219694022342249</v>
      </c>
      <c r="U8" s="35"/>
      <c r="V8" s="35">
        <f>V12+V16+V20+V24+V28+V32+V36+V40+V44+V48+V52+V56+V60+V64+V68+V72+V76</f>
        <v>35059.72</v>
      </c>
      <c r="W8" s="36">
        <f t="shared" si="9"/>
        <v>-0.0470859105389715</v>
      </c>
      <c r="X8" s="35">
        <f>X12+X16+X20+X24+X28+X32+X36+X40+X44+X48+X52+X56+X60+X64+X68+X72+X76</f>
        <v>32311.48</v>
      </c>
      <c r="Y8" s="36">
        <f t="shared" si="10"/>
        <v>-0.0875002294559284</v>
      </c>
      <c r="Z8" s="35">
        <f>Z12+Z16+Z20+Z24+Z28+Z32+Z36+Z40+Z44+Z48+Z52+Z56+Z60+Z64+Z68+Z72+Z76</f>
        <v>33001.41</v>
      </c>
      <c r="AA8" s="36">
        <f t="shared" si="11"/>
        <v>-0.0565300199320959</v>
      </c>
      <c r="AB8" s="35">
        <f>AB12+AB16+AB20+AB24+AB28+AB32+AB36+AB40+AB44+AB48+AB52+AB56+AB60+AB64+AB68+AB72+AB76</f>
        <v>31638.82</v>
      </c>
      <c r="AC8" s="36">
        <f t="shared" si="12"/>
        <v>-0.0841856937754721</v>
      </c>
      <c r="AD8" s="35">
        <f>AD12+AD16+AD20+AD24+AD28+AD32+AD36+AD40+AD44+AD48+AD52+AD56+AD60+AD64+AD68+AD72+AD76</f>
        <v>31532.64</v>
      </c>
      <c r="AE8" s="36">
        <f t="shared" si="13"/>
        <v>-0.0705067569061344</v>
      </c>
      <c r="AF8" s="35">
        <f>AF12+AF16+AF20+AF24+AF28+AF32+AF36+AF40+AF44+AF48+AF52+AF56+AF60+AF64+AF68+AF72+AF76</f>
        <v>30144.24</v>
      </c>
      <c r="AG8" s="36">
        <f t="shared" si="14"/>
        <v>-0.0916187854777089</v>
      </c>
      <c r="AH8" s="35">
        <f>AH12+AH16+AH20+AH24+AH28+AH32+AH36+AH40+AH44+AH48+AH52+AH56+AH60+AH64+AH68+AH72+AH76</f>
        <v>29819.77</v>
      </c>
      <c r="AI8" s="36">
        <f t="shared" si="15"/>
        <v>-0.111258639738371</v>
      </c>
      <c r="AJ8" s="35">
        <f>AJ12+AJ16+AJ20+AJ24+AJ28+AJ32+AJ36+AJ40+AJ44+AJ48+AJ52+AJ56+AJ60+AJ64+AJ68+AJ72+AJ76</f>
        <v>29389.47</v>
      </c>
      <c r="AK8" s="36">
        <f t="shared" si="16"/>
        <v>-0.106974747196977</v>
      </c>
      <c r="AL8" s="35">
        <f>AL12+AL16+AL20+AL24+AL28+AL32+AL36+AL40+AL44+AL48+AL52+AL56+AL60+AL64+AL68+AL72+AL76</f>
        <v>28730.13</v>
      </c>
      <c r="AM8" s="36">
        <f t="shared" si="17"/>
        <v>-0.0875378496988219</v>
      </c>
      <c r="AN8" s="35">
        <f>AN12+AN16+AN20+AN24+AN28+AN32+AN36+AN40+AN44+AN48+AN52+AN56+AN60+AN64+AN68+AN72+AN76</f>
        <v>29671.44</v>
      </c>
      <c r="AO8" s="36">
        <f t="shared" si="18"/>
        <v>-0.090710620977425</v>
      </c>
      <c r="AP8" s="35">
        <f>AP12+AP16+AP20+AP24+AP28+AP32+AP36+AP40+AP44+AP48+AP52+AP56+AP60+AP64+AP68+AP72+AP76</f>
        <v>28272.09</v>
      </c>
      <c r="AQ8" s="36">
        <f t="shared" si="19"/>
        <v>-0.0915558534566523</v>
      </c>
      <c r="AR8" s="35">
        <f>AR12+AR16+AR20+AR24+AR28+AR32+AR36+AR40+AR44+AR48+AR52+AR56+AR60+AR64+AR68+AR72+AR76</f>
        <v>27791.35</v>
      </c>
      <c r="AS8" s="36">
        <f t="shared" si="20"/>
        <v>-0.145860776230082</v>
      </c>
      <c r="AT8" s="35">
        <f t="shared" si="21"/>
        <v>367362.56</v>
      </c>
      <c r="AU8" s="36">
        <f t="shared" si="22"/>
        <v>-0.0886031531491303</v>
      </c>
      <c r="AV8" s="196"/>
      <c r="AW8" s="35">
        <f>AW12+AW16+AW20+AW24+AW28+AW32+AW36+AW40+AW44+AW48+AW52+AW56+AW60+AW64+AW68+AW72+AW76</f>
        <v>36792.11</v>
      </c>
      <c r="AX8" s="36"/>
      <c r="AY8" s="35">
        <f>AY12+AY16+AY20+AY24+AY28+AY32+AY36+AY40+AY44+AY48+AY52+AY56+AY60+AY64+AY68+AY72+AY76</f>
        <v>35409.85</v>
      </c>
      <c r="AZ8" s="36"/>
      <c r="BA8" s="35">
        <f>BA12+BA16+BA20+BA24+BA28+BA32+BA36+BA40+BA44+BA48+BA52+BA56+BA60+BA64+BA68+BA72+BA76</f>
        <v>34978.76</v>
      </c>
      <c r="BB8" s="36"/>
      <c r="BC8" s="35">
        <f>BC12+BC16+BC20+BC24+BC28+BC32+BC36+BC40+BC44+BC48+BC52+BC56+BC60+BC64+BC68+BC72+BC76</f>
        <v>34547.2</v>
      </c>
      <c r="BD8" s="36"/>
      <c r="BE8" s="35">
        <f>BE12+BE16+BE20+BE24+BE28+BE32+BE36+BE40+BE44+BE48+BE52+BE56+BE60+BE64+BE68+BE72+BE76</f>
        <v>33924.55</v>
      </c>
      <c r="BF8" s="36"/>
      <c r="BG8" s="35">
        <f>BG12+BG16+BG20+BG24+BG28+BG32+BG36+BG40+BG44+BG48+BG52+BG56+BG60+BG64+BG68+BG72+BG76</f>
        <v>33184.57</v>
      </c>
      <c r="BH8" s="36"/>
      <c r="BI8" s="35">
        <f>BI12+BI16+BI20+BI24+BI28+BI32+BI36+BI40+BI44+BI48+BI52+BI56+BI60+BI64+BI68+BI72+BI76</f>
        <v>33552.81</v>
      </c>
      <c r="BJ8" s="36"/>
      <c r="BK8" s="35">
        <f>BK12+BK16+BK20+BK24+BK28+BK32+BK36+BK40+BK44+BK48+BK52+BK56+BK60+BK64+BK68+BK72+BK76</f>
        <v>32910.01</v>
      </c>
      <c r="BL8" s="36"/>
      <c r="BM8" s="35">
        <f>BM12+BM16+BM20+BM24+BM28+BM32+BM36+BM40+BM44+BM48+BM52+BM56+BM60+BM64+BM68+BM72+BM76</f>
        <v>31486.38</v>
      </c>
      <c r="BN8" s="36"/>
      <c r="BO8" s="35">
        <f>BO12+BO16+BO20+BO24+BO28+BO32+BO36+BO40+BO44+BO48+BO52+BO56+BO60+BO64+BO68+BO72+BO76</f>
        <v>32631.46</v>
      </c>
      <c r="BP8" s="37"/>
      <c r="BQ8" s="35">
        <f>BQ12+BQ16+BQ20+BQ24+BQ28+BQ32+BQ36+BQ40+BQ44+BQ48+BQ52+BQ56+BQ60+BQ64+BQ68+BQ72+BQ76</f>
        <v>31121.44</v>
      </c>
      <c r="BR8" s="37"/>
      <c r="BS8" s="35">
        <f>BS12+BS16+BS20+BS24+BS28+BS32+BS36+BS40+BS44+BS48+BS52+BS56+BS60+BS64+BS68+BS72+BS76</f>
        <v>32537.26</v>
      </c>
      <c r="BT8" s="37"/>
      <c r="BU8" s="35">
        <f t="shared" si="23"/>
        <v>403076.4</v>
      </c>
      <c r="BV8" s="36"/>
      <c r="BW8" s="40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4"/>
    </row>
    <row r="9" s="169" customFormat="1" ht="27" customHeight="1" spans="1:88">
      <c r="A9" s="43" t="s">
        <v>87</v>
      </c>
      <c r="B9" s="193" t="s">
        <v>278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175"/>
      <c r="R9" s="127"/>
      <c r="S9" s="131">
        <f t="shared" si="7"/>
        <v>7968</v>
      </c>
      <c r="T9" s="132">
        <f t="shared" si="8"/>
        <v>-0.32159058400425</v>
      </c>
      <c r="U9" s="35"/>
      <c r="V9" s="35">
        <v>1621.29</v>
      </c>
      <c r="W9" s="36">
        <f t="shared" si="9"/>
        <v>-0.0725522275358671</v>
      </c>
      <c r="X9" s="35">
        <v>1491.17</v>
      </c>
      <c r="Y9" s="36">
        <f t="shared" si="10"/>
        <v>-0.064011549446066</v>
      </c>
      <c r="Z9" s="35">
        <v>1628.93</v>
      </c>
      <c r="AA9" s="36">
        <f t="shared" si="11"/>
        <v>-0.0663231382978724</v>
      </c>
      <c r="AB9" s="35">
        <v>1546.62</v>
      </c>
      <c r="AC9" s="36">
        <f t="shared" si="12"/>
        <v>-0.0806350942476535</v>
      </c>
      <c r="AD9" s="35">
        <v>1466.95</v>
      </c>
      <c r="AE9" s="36">
        <f t="shared" si="13"/>
        <v>-0.122957533435768</v>
      </c>
      <c r="AF9" s="35">
        <v>1348.76</v>
      </c>
      <c r="AG9" s="36">
        <f t="shared" si="14"/>
        <v>-0.151312270722299</v>
      </c>
      <c r="AH9" s="35">
        <v>1335.28</v>
      </c>
      <c r="AI9" s="36">
        <f t="shared" si="15"/>
        <v>-0.190734489299935</v>
      </c>
      <c r="AJ9" s="35">
        <v>1306.12</v>
      </c>
      <c r="AK9" s="36">
        <f t="shared" si="16"/>
        <v>-0.163820974257527</v>
      </c>
      <c r="AL9" s="35">
        <v>1264.67</v>
      </c>
      <c r="AM9" s="36">
        <f t="shared" si="17"/>
        <v>-0.157510109185869</v>
      </c>
      <c r="AN9" s="35">
        <v>1326.97</v>
      </c>
      <c r="AO9" s="36">
        <f t="shared" si="18"/>
        <v>-0.168502644309096</v>
      </c>
      <c r="AP9" s="35">
        <v>1230.92</v>
      </c>
      <c r="AQ9" s="36">
        <f t="shared" si="19"/>
        <v>-0.201686231273105</v>
      </c>
      <c r="AR9" s="35">
        <v>1167.32</v>
      </c>
      <c r="AS9" s="36">
        <f t="shared" si="20"/>
        <v>-0.269036168720569</v>
      </c>
      <c r="AT9" s="35">
        <f t="shared" si="21"/>
        <v>16735</v>
      </c>
      <c r="AU9" s="36">
        <f t="shared" si="22"/>
        <v>-0.14081981243329</v>
      </c>
      <c r="AV9" s="194"/>
      <c r="AW9" s="38">
        <v>1748.12</v>
      </c>
      <c r="AX9" s="37">
        <f>AW9/BX9-1</f>
        <v>0.000291827123900745</v>
      </c>
      <c r="AY9" s="38">
        <v>1593.15</v>
      </c>
      <c r="AZ9" s="37">
        <f>AY9/BY9-1</f>
        <v>-0.0875168246513359</v>
      </c>
      <c r="BA9" s="38">
        <v>1744.64</v>
      </c>
      <c r="BB9" s="37">
        <f>BA9/BZ9-1</f>
        <v>-0.0852972479854036</v>
      </c>
      <c r="BC9" s="38">
        <v>1682.27</v>
      </c>
      <c r="BD9" s="37">
        <f>BC9/CA9-1</f>
        <v>-0.0722912163056425</v>
      </c>
      <c r="BE9" s="38">
        <v>1672.61</v>
      </c>
      <c r="BF9" s="37">
        <f>BE9/CB9-1</f>
        <v>-0.0861952162938845</v>
      </c>
      <c r="BG9" s="38">
        <v>1589.23</v>
      </c>
      <c r="BH9" s="37">
        <f>BG9/CC9-1</f>
        <v>-0.064355269819963</v>
      </c>
      <c r="BI9" s="38">
        <v>1649.99</v>
      </c>
      <c r="BJ9" s="37">
        <f>BI9/CD9-1</f>
        <v>-0.104449015702089</v>
      </c>
      <c r="BK9" s="38">
        <v>1562.01</v>
      </c>
      <c r="BL9" s="37">
        <f>BK9/CE9-1</f>
        <v>-0.133213471174816</v>
      </c>
      <c r="BM9" s="38">
        <v>1501.11</v>
      </c>
      <c r="BN9" s="37">
        <f>BM9/CF9-1</f>
        <v>-0.14186489221218</v>
      </c>
      <c r="BO9" s="38">
        <v>1595.88</v>
      </c>
      <c r="BP9" s="37">
        <f>BO9/CG9-1</f>
        <v>-0.144538788112698</v>
      </c>
      <c r="BQ9" s="38">
        <v>1541.9</v>
      </c>
      <c r="BR9" s="37">
        <f>BQ9/CH9-1</f>
        <v>-0.101891276363996</v>
      </c>
      <c r="BS9" s="38">
        <v>1596.96</v>
      </c>
      <c r="BT9" s="37">
        <f>BS9/CI9-1</f>
        <v>-0.0689745637713013</v>
      </c>
      <c r="BU9" s="38">
        <f t="shared" si="23"/>
        <v>19477.87</v>
      </c>
      <c r="BV9" s="37">
        <f>BU9/CJ9-1</f>
        <v>-0.091286688413478</v>
      </c>
      <c r="BW9" s="39"/>
      <c r="BX9" s="195">
        <v>1747.61</v>
      </c>
      <c r="BY9" s="195">
        <v>1745.95</v>
      </c>
      <c r="BZ9" s="195">
        <v>1907.33</v>
      </c>
      <c r="CA9" s="195">
        <v>1813.36</v>
      </c>
      <c r="CB9" s="195">
        <v>1830.38</v>
      </c>
      <c r="CC9" s="195">
        <v>1698.54</v>
      </c>
      <c r="CD9" s="195">
        <v>1842.43</v>
      </c>
      <c r="CE9" s="195">
        <v>1802.07</v>
      </c>
      <c r="CF9" s="195">
        <v>1749.27</v>
      </c>
      <c r="CG9" s="195">
        <v>1865.52</v>
      </c>
      <c r="CH9" s="195">
        <v>1716.83</v>
      </c>
      <c r="CI9" s="195">
        <v>1715.27</v>
      </c>
      <c r="CJ9" s="38">
        <f>BX9+BY9+BZ9+CA9+CB9+CC9+CD9+CE9+CF9+CG9+CH9+CI9</f>
        <v>21434.56</v>
      </c>
    </row>
    <row r="10" s="170" customFormat="1" ht="27" customHeight="1" spans="1:88">
      <c r="A10" s="45"/>
      <c r="B10" s="193" t="s">
        <v>279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175"/>
      <c r="R10" s="127"/>
      <c r="S10" s="35">
        <f t="shared" si="7"/>
        <v>62150.39</v>
      </c>
      <c r="T10" s="132">
        <f t="shared" si="8"/>
        <v>-0.321590722781332</v>
      </c>
      <c r="U10" s="35"/>
      <c r="V10" s="35">
        <v>12646.06</v>
      </c>
      <c r="W10" s="36">
        <f t="shared" si="9"/>
        <v>-0.0725526462853145</v>
      </c>
      <c r="X10" s="35">
        <v>11631.13</v>
      </c>
      <c r="Y10" s="36">
        <f t="shared" si="10"/>
        <v>-0.06401122755515</v>
      </c>
      <c r="Z10" s="35">
        <v>12705.65</v>
      </c>
      <c r="AA10" s="36">
        <f t="shared" si="11"/>
        <v>-0.0663232950157222</v>
      </c>
      <c r="AB10" s="35">
        <v>12063.64</v>
      </c>
      <c r="AC10" s="36">
        <f t="shared" si="12"/>
        <v>-0.080635069666987</v>
      </c>
      <c r="AD10" s="35">
        <v>11442.21</v>
      </c>
      <c r="AE10" s="36">
        <f t="shared" si="13"/>
        <v>-0.122957667885909</v>
      </c>
      <c r="AF10" s="35">
        <v>10520.33</v>
      </c>
      <c r="AG10" s="36">
        <f t="shared" si="14"/>
        <v>-0.151311835521003</v>
      </c>
      <c r="AH10" s="35">
        <v>10415.18</v>
      </c>
      <c r="AI10" s="36">
        <f t="shared" si="15"/>
        <v>-0.19073467434141</v>
      </c>
      <c r="AJ10" s="35">
        <v>10187.74</v>
      </c>
      <c r="AK10" s="36">
        <f t="shared" si="16"/>
        <v>-0.163820783211641</v>
      </c>
      <c r="AL10" s="35">
        <v>9864.43</v>
      </c>
      <c r="AM10" s="36">
        <f t="shared" si="17"/>
        <v>-0.157509911467239</v>
      </c>
      <c r="AN10" s="35">
        <v>10350.37</v>
      </c>
      <c r="AO10" s="36">
        <f t="shared" si="18"/>
        <v>-0.168502055775049</v>
      </c>
      <c r="AP10" s="35">
        <v>9601.18</v>
      </c>
      <c r="AQ10" s="36">
        <f t="shared" si="19"/>
        <v>-0.20168589868311</v>
      </c>
      <c r="AR10" s="35">
        <v>9105.1</v>
      </c>
      <c r="AS10" s="36">
        <f t="shared" si="20"/>
        <v>-0.26903596496228</v>
      </c>
      <c r="AT10" s="35">
        <f t="shared" si="21"/>
        <v>130533.02</v>
      </c>
      <c r="AU10" s="36">
        <f t="shared" si="22"/>
        <v>-0.140819703412268</v>
      </c>
      <c r="AV10" s="196"/>
      <c r="AW10" s="35">
        <v>13635.34</v>
      </c>
      <c r="AX10" s="36"/>
      <c r="AY10" s="35">
        <v>12426.57</v>
      </c>
      <c r="AZ10" s="36"/>
      <c r="BA10" s="35">
        <v>13608.19</v>
      </c>
      <c r="BB10" s="36"/>
      <c r="BC10" s="35">
        <v>13121.71</v>
      </c>
      <c r="BD10" s="36"/>
      <c r="BE10" s="35">
        <v>13046.36</v>
      </c>
      <c r="BF10" s="36"/>
      <c r="BG10" s="35">
        <v>12395.99</v>
      </c>
      <c r="BH10" s="36"/>
      <c r="BI10" s="35">
        <v>12869.92</v>
      </c>
      <c r="BJ10" s="36"/>
      <c r="BK10" s="35">
        <v>12183.68</v>
      </c>
      <c r="BL10" s="36"/>
      <c r="BM10" s="35">
        <v>11708.66</v>
      </c>
      <c r="BN10" s="36"/>
      <c r="BO10" s="35">
        <v>12447.86</v>
      </c>
      <c r="BP10" s="37"/>
      <c r="BQ10" s="35">
        <v>12026.82</v>
      </c>
      <c r="BR10" s="37"/>
      <c r="BS10" s="35">
        <v>12456.29</v>
      </c>
      <c r="BT10" s="37"/>
      <c r="BU10" s="35">
        <f t="shared" si="23"/>
        <v>151927.39</v>
      </c>
      <c r="BV10" s="36"/>
      <c r="BW10" s="40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4"/>
    </row>
    <row r="11" s="170" customFormat="1" ht="27" customHeight="1" spans="1:88">
      <c r="A11" s="45"/>
      <c r="B11" s="193" t="s">
        <v>280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175"/>
      <c r="R11" s="127"/>
      <c r="S11" s="35">
        <f t="shared" si="7"/>
        <v>7968</v>
      </c>
      <c r="T11" s="132">
        <f t="shared" si="8"/>
        <v>-0.32159058400425</v>
      </c>
      <c r="U11" s="35"/>
      <c r="V11" s="35">
        <v>1621.29</v>
      </c>
      <c r="W11" s="36">
        <f t="shared" si="9"/>
        <v>-0.0725522275358671</v>
      </c>
      <c r="X11" s="35">
        <v>1491.17</v>
      </c>
      <c r="Y11" s="36">
        <f t="shared" si="10"/>
        <v>-0.064011549446066</v>
      </c>
      <c r="Z11" s="35">
        <v>1628.93</v>
      </c>
      <c r="AA11" s="36">
        <f t="shared" si="11"/>
        <v>-0.0663231382978724</v>
      </c>
      <c r="AB11" s="35">
        <v>1546.62</v>
      </c>
      <c r="AC11" s="36">
        <f t="shared" si="12"/>
        <v>-0.0806350942476535</v>
      </c>
      <c r="AD11" s="35">
        <v>1466.95</v>
      </c>
      <c r="AE11" s="36">
        <f t="shared" si="13"/>
        <v>-0.122957533435768</v>
      </c>
      <c r="AF11" s="35">
        <v>1348.76</v>
      </c>
      <c r="AG11" s="36">
        <f t="shared" si="14"/>
        <v>-0.151312270722299</v>
      </c>
      <c r="AH11" s="35">
        <v>1335.28</v>
      </c>
      <c r="AI11" s="36">
        <f t="shared" si="15"/>
        <v>-0.190734489299935</v>
      </c>
      <c r="AJ11" s="35">
        <v>1306.12</v>
      </c>
      <c r="AK11" s="36">
        <f t="shared" si="16"/>
        <v>-0.163820974257527</v>
      </c>
      <c r="AL11" s="35">
        <v>1264.67</v>
      </c>
      <c r="AM11" s="36">
        <f t="shared" si="17"/>
        <v>-0.157510109185869</v>
      </c>
      <c r="AN11" s="35">
        <v>1326.97</v>
      </c>
      <c r="AO11" s="36">
        <f t="shared" si="18"/>
        <v>-0.168502644309096</v>
      </c>
      <c r="AP11" s="35">
        <v>1230.92</v>
      </c>
      <c r="AQ11" s="36">
        <f t="shared" si="19"/>
        <v>-0.201686231273105</v>
      </c>
      <c r="AR11" s="35">
        <v>1167.32</v>
      </c>
      <c r="AS11" s="36">
        <f t="shared" si="20"/>
        <v>-0.269036168720569</v>
      </c>
      <c r="AT11" s="35">
        <f t="shared" si="21"/>
        <v>16735</v>
      </c>
      <c r="AU11" s="36">
        <f t="shared" si="22"/>
        <v>-0.14081981243329</v>
      </c>
      <c r="AV11" s="196"/>
      <c r="AW11" s="35">
        <v>1748.12</v>
      </c>
      <c r="AX11" s="36"/>
      <c r="AY11" s="35">
        <v>1593.15</v>
      </c>
      <c r="AZ11" s="36"/>
      <c r="BA11" s="35">
        <v>1744.64</v>
      </c>
      <c r="BB11" s="36"/>
      <c r="BC11" s="35">
        <v>1682.27</v>
      </c>
      <c r="BD11" s="36"/>
      <c r="BE11" s="35">
        <v>1672.61</v>
      </c>
      <c r="BF11" s="36"/>
      <c r="BG11" s="35">
        <v>1589.23</v>
      </c>
      <c r="BH11" s="36"/>
      <c r="BI11" s="35">
        <v>1649.99</v>
      </c>
      <c r="BJ11" s="36"/>
      <c r="BK11" s="35">
        <v>1562.01</v>
      </c>
      <c r="BL11" s="36"/>
      <c r="BM11" s="35">
        <v>1501.11</v>
      </c>
      <c r="BN11" s="36"/>
      <c r="BO11" s="35">
        <v>1595.88</v>
      </c>
      <c r="BP11" s="37"/>
      <c r="BQ11" s="35">
        <v>1541.9</v>
      </c>
      <c r="BR11" s="37"/>
      <c r="BS11" s="35">
        <v>1596.96</v>
      </c>
      <c r="BT11" s="37"/>
      <c r="BU11" s="35">
        <f t="shared" si="23"/>
        <v>19477.87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4"/>
    </row>
    <row r="12" s="170" customFormat="1" ht="27" customHeight="1" spans="1:88">
      <c r="A12" s="29"/>
      <c r="B12" s="193" t="s">
        <v>276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175"/>
      <c r="R12" s="127"/>
      <c r="S12" s="35">
        <f t="shared" si="7"/>
        <v>62150.39</v>
      </c>
      <c r="T12" s="132">
        <f t="shared" si="8"/>
        <v>-0.321590722781332</v>
      </c>
      <c r="U12" s="35"/>
      <c r="V12" s="35">
        <v>12646.06</v>
      </c>
      <c r="W12" s="36">
        <f t="shared" si="9"/>
        <v>-0.0725526462853145</v>
      </c>
      <c r="X12" s="35">
        <v>11631.13</v>
      </c>
      <c r="Y12" s="36">
        <f t="shared" si="10"/>
        <v>-0.06401122755515</v>
      </c>
      <c r="Z12" s="35">
        <v>12705.65</v>
      </c>
      <c r="AA12" s="36">
        <f t="shared" si="11"/>
        <v>-0.0663232950157222</v>
      </c>
      <c r="AB12" s="35">
        <v>12063.64</v>
      </c>
      <c r="AC12" s="36">
        <f t="shared" si="12"/>
        <v>-0.080635069666987</v>
      </c>
      <c r="AD12" s="35">
        <v>11442.21</v>
      </c>
      <c r="AE12" s="36">
        <f t="shared" si="13"/>
        <v>-0.122957667885909</v>
      </c>
      <c r="AF12" s="35">
        <v>10520.33</v>
      </c>
      <c r="AG12" s="36">
        <f t="shared" si="14"/>
        <v>-0.151311835521003</v>
      </c>
      <c r="AH12" s="35">
        <v>10415.18</v>
      </c>
      <c r="AI12" s="36">
        <f t="shared" si="15"/>
        <v>-0.19073467434141</v>
      </c>
      <c r="AJ12" s="35">
        <v>10187.74</v>
      </c>
      <c r="AK12" s="36">
        <f t="shared" si="16"/>
        <v>-0.163820783211641</v>
      </c>
      <c r="AL12" s="35">
        <v>9864.43</v>
      </c>
      <c r="AM12" s="36">
        <f t="shared" si="17"/>
        <v>-0.157509911467239</v>
      </c>
      <c r="AN12" s="35">
        <v>10350.37</v>
      </c>
      <c r="AO12" s="36">
        <f t="shared" si="18"/>
        <v>-0.168502055775049</v>
      </c>
      <c r="AP12" s="35">
        <v>9601.18</v>
      </c>
      <c r="AQ12" s="36">
        <f t="shared" si="19"/>
        <v>-0.20168589868311</v>
      </c>
      <c r="AR12" s="35">
        <v>9105.1</v>
      </c>
      <c r="AS12" s="36">
        <f t="shared" si="20"/>
        <v>-0.26903596496228</v>
      </c>
      <c r="AT12" s="35">
        <f t="shared" si="21"/>
        <v>130533.02</v>
      </c>
      <c r="AU12" s="36">
        <f t="shared" si="22"/>
        <v>-0.140819703412268</v>
      </c>
      <c r="AV12" s="196"/>
      <c r="AW12" s="35">
        <v>13635.34</v>
      </c>
      <c r="AX12" s="36"/>
      <c r="AY12" s="35">
        <v>12426.57</v>
      </c>
      <c r="AZ12" s="36"/>
      <c r="BA12" s="35">
        <v>13608.19</v>
      </c>
      <c r="BB12" s="36"/>
      <c r="BC12" s="35">
        <v>13121.71</v>
      </c>
      <c r="BD12" s="36"/>
      <c r="BE12" s="35">
        <v>13046.36</v>
      </c>
      <c r="BF12" s="36"/>
      <c r="BG12" s="35">
        <v>12395.99</v>
      </c>
      <c r="BH12" s="36"/>
      <c r="BI12" s="35">
        <v>12869.92</v>
      </c>
      <c r="BJ12" s="36"/>
      <c r="BK12" s="35">
        <v>12183.68</v>
      </c>
      <c r="BL12" s="36"/>
      <c r="BM12" s="35">
        <v>11708.66</v>
      </c>
      <c r="BN12" s="36"/>
      <c r="BO12" s="35">
        <v>12447.86</v>
      </c>
      <c r="BP12" s="37"/>
      <c r="BQ12" s="35">
        <v>12026.82</v>
      </c>
      <c r="BR12" s="37"/>
      <c r="BS12" s="35">
        <v>12456.29</v>
      </c>
      <c r="BT12" s="37"/>
      <c r="BU12" s="35">
        <f t="shared" si="23"/>
        <v>151927.39</v>
      </c>
      <c r="BV12" s="36"/>
      <c r="BW12" s="40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4"/>
    </row>
    <row r="13" s="169" customFormat="1" ht="27" customHeight="1" spans="1:88">
      <c r="A13" s="48" t="s">
        <v>94</v>
      </c>
      <c r="B13" s="193" t="s">
        <v>278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175"/>
      <c r="R13" s="127"/>
      <c r="S13" s="131">
        <f t="shared" si="7"/>
        <v>2045.76</v>
      </c>
      <c r="T13" s="132">
        <f t="shared" si="8"/>
        <v>-0.246843994477681</v>
      </c>
      <c r="U13" s="35"/>
      <c r="V13" s="35">
        <v>366.26</v>
      </c>
      <c r="W13" s="36">
        <f t="shared" si="9"/>
        <v>-0.192904363155575</v>
      </c>
      <c r="X13" s="35">
        <v>361.25</v>
      </c>
      <c r="Y13" s="36">
        <f t="shared" si="10"/>
        <v>-0.202450601611657</v>
      </c>
      <c r="Z13" s="35">
        <v>351.61</v>
      </c>
      <c r="AA13" s="36">
        <f t="shared" si="11"/>
        <v>-0.148911964756856</v>
      </c>
      <c r="AB13" s="35">
        <v>329.22</v>
      </c>
      <c r="AC13" s="36">
        <f t="shared" si="12"/>
        <v>-0.201310043668122</v>
      </c>
      <c r="AD13" s="35">
        <v>333.74</v>
      </c>
      <c r="AE13" s="36">
        <f t="shared" si="13"/>
        <v>-0.0777605836188792</v>
      </c>
      <c r="AF13" s="35">
        <v>324.76</v>
      </c>
      <c r="AG13" s="36">
        <f t="shared" si="14"/>
        <v>-0.108781558726674</v>
      </c>
      <c r="AH13" s="35">
        <v>318</v>
      </c>
      <c r="AI13" s="36">
        <f t="shared" si="15"/>
        <v>-0.12016158038901</v>
      </c>
      <c r="AJ13" s="35">
        <v>331.41</v>
      </c>
      <c r="AK13" s="36">
        <f t="shared" si="16"/>
        <v>-0.0617993432227381</v>
      </c>
      <c r="AL13" s="35">
        <v>306.84</v>
      </c>
      <c r="AM13" s="36">
        <f t="shared" si="17"/>
        <v>-0.074891461649783</v>
      </c>
      <c r="AN13" s="35">
        <v>299.04</v>
      </c>
      <c r="AO13" s="36">
        <f t="shared" si="18"/>
        <v>-0.0378997490508975</v>
      </c>
      <c r="AP13" s="35">
        <v>303.05</v>
      </c>
      <c r="AQ13" s="36">
        <f t="shared" si="19"/>
        <v>-0.0169332079021636</v>
      </c>
      <c r="AR13" s="35">
        <v>296.94</v>
      </c>
      <c r="AS13" s="36">
        <f t="shared" si="20"/>
        <v>-0.142337242215932</v>
      </c>
      <c r="AT13" s="35">
        <f t="shared" si="21"/>
        <v>3922.12</v>
      </c>
      <c r="AU13" s="36">
        <f t="shared" si="22"/>
        <v>-0.122572158513832</v>
      </c>
      <c r="AV13" s="194"/>
      <c r="AW13" s="38">
        <v>453.8</v>
      </c>
      <c r="AX13" s="37">
        <f>AW13/BX13-1</f>
        <v>0.130514934854637</v>
      </c>
      <c r="AY13" s="38">
        <v>452.95</v>
      </c>
      <c r="AZ13" s="37">
        <f>AY13/BY13-1</f>
        <v>0.0313304036977162</v>
      </c>
      <c r="BA13" s="38">
        <v>413.13</v>
      </c>
      <c r="BB13" s="37">
        <f>BA13/BZ13-1</f>
        <v>-0.124501992031873</v>
      </c>
      <c r="BC13" s="38">
        <v>412.2</v>
      </c>
      <c r="BD13" s="37">
        <f>BC13/CA13-1</f>
        <v>-0.112918845632384</v>
      </c>
      <c r="BE13" s="38">
        <v>361.88</v>
      </c>
      <c r="BF13" s="37">
        <f>BE13/CB13-1</f>
        <v>-0.199026117751217</v>
      </c>
      <c r="BG13" s="38">
        <v>364.4</v>
      </c>
      <c r="BH13" s="37">
        <f>BG13/CC13-1</f>
        <v>-0.188707810134473</v>
      </c>
      <c r="BI13" s="38">
        <v>361.43</v>
      </c>
      <c r="BJ13" s="37">
        <f>BI13/CD13-1</f>
        <v>-0.185675018024513</v>
      </c>
      <c r="BK13" s="38">
        <v>353.24</v>
      </c>
      <c r="BL13" s="37">
        <f>BK13/CE13-1</f>
        <v>-0.243743175833351</v>
      </c>
      <c r="BM13" s="38">
        <v>331.68</v>
      </c>
      <c r="BN13" s="37">
        <f>BM13/CF13-1</f>
        <v>-0.238899469928176</v>
      </c>
      <c r="BO13" s="38">
        <v>310.82</v>
      </c>
      <c r="BP13" s="37">
        <f>BO13/CG13-1</f>
        <v>-0.310438158624515</v>
      </c>
      <c r="BQ13" s="38">
        <v>308.27</v>
      </c>
      <c r="BR13" s="37">
        <f>BQ13/CH13-1</f>
        <v>-0.292244466893195</v>
      </c>
      <c r="BS13" s="38">
        <v>346.22</v>
      </c>
      <c r="BT13" s="37">
        <f>BS13/CI13-1</f>
        <v>-0.176470588235294</v>
      </c>
      <c r="BU13" s="38">
        <f t="shared" si="23"/>
        <v>4470.02</v>
      </c>
      <c r="BV13" s="37">
        <f>BU13/CJ13-1</f>
        <v>-0.161590906959515</v>
      </c>
      <c r="BW13" s="39"/>
      <c r="BX13" s="195">
        <v>401.41</v>
      </c>
      <c r="BY13" s="195">
        <v>439.19</v>
      </c>
      <c r="BZ13" s="195">
        <v>471.88</v>
      </c>
      <c r="CA13" s="195">
        <v>464.67</v>
      </c>
      <c r="CB13" s="195">
        <v>451.8</v>
      </c>
      <c r="CC13" s="195">
        <v>449.16</v>
      </c>
      <c r="CD13" s="195">
        <v>443.84</v>
      </c>
      <c r="CE13" s="195">
        <v>467.09</v>
      </c>
      <c r="CF13" s="195">
        <v>435.79</v>
      </c>
      <c r="CG13" s="195">
        <v>450.75</v>
      </c>
      <c r="CH13" s="195">
        <v>435.56</v>
      </c>
      <c r="CI13" s="195">
        <v>420.41</v>
      </c>
      <c r="CJ13" s="38">
        <f>BX13+BY13+BZ13+CA13+CB13+CC13+CD13+CE13+CF13+CG13+CH13+CI13</f>
        <v>5331.55</v>
      </c>
    </row>
    <row r="14" s="170" customFormat="1" ht="27" customHeight="1" spans="1:88">
      <c r="A14" s="45"/>
      <c r="B14" s="193" t="s">
        <v>279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175"/>
      <c r="R14" s="127"/>
      <c r="S14" s="35">
        <f t="shared" si="7"/>
        <v>10228.8</v>
      </c>
      <c r="T14" s="132">
        <f t="shared" si="8"/>
        <v>-0.246843994477681</v>
      </c>
      <c r="U14" s="35"/>
      <c r="V14" s="35">
        <v>1831.3</v>
      </c>
      <c r="W14" s="36">
        <f t="shared" si="9"/>
        <v>-0.159275378287057</v>
      </c>
      <c r="X14" s="35">
        <v>1806.25</v>
      </c>
      <c r="Y14" s="36">
        <f t="shared" si="10"/>
        <v>-0.202450601611657</v>
      </c>
      <c r="Z14" s="35">
        <v>1758.05</v>
      </c>
      <c r="AA14" s="36">
        <f t="shared" si="11"/>
        <v>-0.148911964756856</v>
      </c>
      <c r="AB14" s="35">
        <v>1646.1</v>
      </c>
      <c r="AC14" s="36">
        <f t="shared" si="12"/>
        <v>-0.201310043668122</v>
      </c>
      <c r="AD14" s="35">
        <v>1668.7</v>
      </c>
      <c r="AE14" s="36">
        <f t="shared" si="13"/>
        <v>-0.0777605836188792</v>
      </c>
      <c r="AF14" s="35">
        <v>1623.8</v>
      </c>
      <c r="AG14" s="36">
        <f t="shared" si="14"/>
        <v>-0.108781558726674</v>
      </c>
      <c r="AH14" s="35">
        <v>1590</v>
      </c>
      <c r="AI14" s="36">
        <f t="shared" si="15"/>
        <v>-0.12016158038901</v>
      </c>
      <c r="AJ14" s="35">
        <v>1657.05</v>
      </c>
      <c r="AK14" s="36">
        <f t="shared" si="16"/>
        <v>-0.0617993432227382</v>
      </c>
      <c r="AL14" s="35">
        <v>1534.2</v>
      </c>
      <c r="AM14" s="36">
        <f t="shared" si="17"/>
        <v>-0.074891461649783</v>
      </c>
      <c r="AN14" s="35">
        <v>1495.2</v>
      </c>
      <c r="AO14" s="36">
        <f t="shared" si="18"/>
        <v>-0.0378997490508975</v>
      </c>
      <c r="AP14" s="35">
        <v>1515.25</v>
      </c>
      <c r="AQ14" s="36">
        <f t="shared" si="19"/>
        <v>-0.0169332079021637</v>
      </c>
      <c r="AR14" s="35">
        <v>1484.7</v>
      </c>
      <c r="AS14" s="36">
        <f t="shared" si="20"/>
        <v>-0.142337242215932</v>
      </c>
      <c r="AT14" s="35">
        <f t="shared" si="21"/>
        <v>19610.6</v>
      </c>
      <c r="AU14" s="36">
        <f t="shared" si="22"/>
        <v>-0.118994543414135</v>
      </c>
      <c r="AV14" s="196"/>
      <c r="AW14" s="35">
        <v>2178.24</v>
      </c>
      <c r="AX14" s="36"/>
      <c r="AY14" s="35">
        <v>2264.75</v>
      </c>
      <c r="AZ14" s="36"/>
      <c r="BA14" s="35">
        <v>2065.65</v>
      </c>
      <c r="BB14" s="36"/>
      <c r="BC14" s="35">
        <v>2061</v>
      </c>
      <c r="BD14" s="36"/>
      <c r="BE14" s="35">
        <v>1809.4</v>
      </c>
      <c r="BF14" s="36"/>
      <c r="BG14" s="35">
        <v>1822</v>
      </c>
      <c r="BH14" s="36"/>
      <c r="BI14" s="35">
        <v>1807.15</v>
      </c>
      <c r="BJ14" s="36"/>
      <c r="BK14" s="35">
        <v>1766.2</v>
      </c>
      <c r="BL14" s="36"/>
      <c r="BM14" s="35">
        <v>1658.4</v>
      </c>
      <c r="BN14" s="36"/>
      <c r="BO14" s="35">
        <v>1554.1</v>
      </c>
      <c r="BP14" s="37"/>
      <c r="BQ14" s="35">
        <v>1541.35</v>
      </c>
      <c r="BR14" s="37"/>
      <c r="BS14" s="35">
        <v>1731.1</v>
      </c>
      <c r="BT14" s="37"/>
      <c r="BU14" s="35">
        <f t="shared" si="23"/>
        <v>22259.34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4"/>
    </row>
    <row r="15" s="170" customFormat="1" ht="27" customHeight="1" spans="1:88">
      <c r="A15" s="45"/>
      <c r="B15" s="193" t="s">
        <v>280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175"/>
      <c r="R15" s="127"/>
      <c r="S15" s="35">
        <f t="shared" si="7"/>
        <v>1868.89</v>
      </c>
      <c r="T15" s="132">
        <f t="shared" si="8"/>
        <v>-0.261133075037558</v>
      </c>
      <c r="U15" s="35"/>
      <c r="V15" s="35">
        <v>350.09</v>
      </c>
      <c r="W15" s="36">
        <f t="shared" si="9"/>
        <v>-0.214622218234027</v>
      </c>
      <c r="X15" s="35">
        <v>334.57</v>
      </c>
      <c r="Y15" s="36">
        <f t="shared" si="10"/>
        <v>-0.240252514930626</v>
      </c>
      <c r="Z15" s="35">
        <v>331.99</v>
      </c>
      <c r="AA15" s="36">
        <f t="shared" si="11"/>
        <v>-0.159561541187788</v>
      </c>
      <c r="AB15" s="35">
        <v>303.04</v>
      </c>
      <c r="AC15" s="36">
        <f t="shared" si="12"/>
        <v>-0.223054045738899</v>
      </c>
      <c r="AD15" s="35">
        <v>310.9</v>
      </c>
      <c r="AE15" s="36">
        <f t="shared" si="13"/>
        <v>-0.0916793268668926</v>
      </c>
      <c r="AF15" s="35">
        <v>306.26</v>
      </c>
      <c r="AG15" s="36">
        <f t="shared" si="14"/>
        <v>-0.0678719259800341</v>
      </c>
      <c r="AH15" s="35">
        <v>293.87</v>
      </c>
      <c r="AI15" s="36">
        <f t="shared" si="15"/>
        <v>-0.0736374239510765</v>
      </c>
      <c r="AJ15" s="35">
        <v>298.68</v>
      </c>
      <c r="AK15" s="36">
        <f t="shared" si="16"/>
        <v>-0.11606984314886</v>
      </c>
      <c r="AL15" s="35">
        <v>284.54</v>
      </c>
      <c r="AM15" s="36">
        <f t="shared" si="17"/>
        <v>-0.0354249296586324</v>
      </c>
      <c r="AN15" s="35">
        <v>276.62</v>
      </c>
      <c r="AO15" s="36">
        <f t="shared" si="18"/>
        <v>-0.0481401190599084</v>
      </c>
      <c r="AP15" s="35">
        <v>281.7</v>
      </c>
      <c r="AQ15" s="36">
        <f t="shared" si="19"/>
        <v>-0.00697969543147214</v>
      </c>
      <c r="AR15" s="35">
        <v>274.44</v>
      </c>
      <c r="AS15" s="36">
        <f t="shared" si="20"/>
        <v>-0.13752357008171</v>
      </c>
      <c r="AT15" s="35">
        <f t="shared" si="21"/>
        <v>3646.7</v>
      </c>
      <c r="AU15" s="36">
        <f t="shared" si="22"/>
        <v>-0.128551082052459</v>
      </c>
      <c r="AV15" s="196"/>
      <c r="AW15" s="35">
        <v>445.76</v>
      </c>
      <c r="AX15" s="36"/>
      <c r="AY15" s="35">
        <v>440.37</v>
      </c>
      <c r="AZ15" s="36"/>
      <c r="BA15" s="35">
        <v>395.02</v>
      </c>
      <c r="BB15" s="36"/>
      <c r="BC15" s="35">
        <v>390.04</v>
      </c>
      <c r="BD15" s="36"/>
      <c r="BE15" s="35">
        <v>342.28</v>
      </c>
      <c r="BF15" s="36"/>
      <c r="BG15" s="35">
        <v>328.56</v>
      </c>
      <c r="BH15" s="36"/>
      <c r="BI15" s="35">
        <v>317.23</v>
      </c>
      <c r="BJ15" s="36"/>
      <c r="BK15" s="35">
        <v>337.9</v>
      </c>
      <c r="BL15" s="36"/>
      <c r="BM15" s="35">
        <v>294.99</v>
      </c>
      <c r="BN15" s="36"/>
      <c r="BO15" s="35">
        <v>290.61</v>
      </c>
      <c r="BP15" s="37"/>
      <c r="BQ15" s="35">
        <v>283.68</v>
      </c>
      <c r="BR15" s="37"/>
      <c r="BS15" s="35">
        <v>318.2</v>
      </c>
      <c r="BT15" s="37"/>
      <c r="BU15" s="35">
        <f t="shared" si="23"/>
        <v>4184.64</v>
      </c>
      <c r="BV15" s="36"/>
      <c r="BW15" s="40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4"/>
    </row>
    <row r="16" s="170" customFormat="1" ht="27" customHeight="1" spans="1:88">
      <c r="A16" s="29"/>
      <c r="B16" s="193" t="s">
        <v>276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175"/>
      <c r="R16" s="127"/>
      <c r="S16" s="35">
        <f t="shared" si="7"/>
        <v>8410.02</v>
      </c>
      <c r="T16" s="132">
        <f t="shared" si="8"/>
        <v>-0.261133055475509</v>
      </c>
      <c r="U16" s="35"/>
      <c r="V16" s="35">
        <v>1575.41</v>
      </c>
      <c r="W16" s="36">
        <f t="shared" si="9"/>
        <v>-0.158520235659842</v>
      </c>
      <c r="X16" s="35">
        <v>1505.57</v>
      </c>
      <c r="Y16" s="36">
        <f t="shared" si="10"/>
        <v>-0.240251908743635</v>
      </c>
      <c r="Z16" s="35">
        <v>1493.96</v>
      </c>
      <c r="AA16" s="36">
        <f t="shared" si="11"/>
        <v>-0.159558728390686</v>
      </c>
      <c r="AB16" s="35">
        <v>1363.68</v>
      </c>
      <c r="AC16" s="36">
        <f t="shared" si="12"/>
        <v>-0.223054045738899</v>
      </c>
      <c r="AD16" s="35">
        <v>1399.05</v>
      </c>
      <c r="AE16" s="36">
        <f t="shared" si="13"/>
        <v>-0.0916793268668926</v>
      </c>
      <c r="AF16" s="35">
        <v>1378.17</v>
      </c>
      <c r="AG16" s="36">
        <f t="shared" si="14"/>
        <v>-0.067871925980034</v>
      </c>
      <c r="AH16" s="35">
        <v>1322.42</v>
      </c>
      <c r="AI16" s="36">
        <f t="shared" si="15"/>
        <v>-0.0736371660338764</v>
      </c>
      <c r="AJ16" s="35">
        <v>1344.06</v>
      </c>
      <c r="AK16" s="36">
        <f t="shared" si="16"/>
        <v>-0.116069843148861</v>
      </c>
      <c r="AL16" s="35">
        <v>1280.43</v>
      </c>
      <c r="AM16" s="36">
        <f t="shared" si="17"/>
        <v>-0.0354285628192187</v>
      </c>
      <c r="AN16" s="35">
        <v>1244.79</v>
      </c>
      <c r="AO16" s="36">
        <f t="shared" si="18"/>
        <v>-0.0481437583636016</v>
      </c>
      <c r="AP16" s="35">
        <v>1267.65</v>
      </c>
      <c r="AQ16" s="36">
        <f t="shared" si="19"/>
        <v>-0.00697969543147192</v>
      </c>
      <c r="AR16" s="35">
        <v>1234.98</v>
      </c>
      <c r="AS16" s="36">
        <f t="shared" si="20"/>
        <v>-0.13752357008171</v>
      </c>
      <c r="AT16" s="35">
        <f t="shared" si="21"/>
        <v>16410.17</v>
      </c>
      <c r="AU16" s="36">
        <f t="shared" si="22"/>
        <v>-0.122317976463818</v>
      </c>
      <c r="AV16" s="196"/>
      <c r="AW16" s="35">
        <v>1872.19</v>
      </c>
      <c r="AX16" s="36"/>
      <c r="AY16" s="35">
        <v>1981.67</v>
      </c>
      <c r="AZ16" s="36"/>
      <c r="BA16" s="35">
        <v>1777.59</v>
      </c>
      <c r="BB16" s="36"/>
      <c r="BC16" s="35">
        <v>1755.18</v>
      </c>
      <c r="BD16" s="36"/>
      <c r="BE16" s="35">
        <v>1540.26</v>
      </c>
      <c r="BF16" s="36"/>
      <c r="BG16" s="35">
        <v>1478.52</v>
      </c>
      <c r="BH16" s="36"/>
      <c r="BI16" s="35">
        <v>1427.54</v>
      </c>
      <c r="BJ16" s="36"/>
      <c r="BK16" s="35">
        <v>1520.55</v>
      </c>
      <c r="BL16" s="36"/>
      <c r="BM16" s="35">
        <v>1327.46</v>
      </c>
      <c r="BN16" s="36"/>
      <c r="BO16" s="35">
        <v>1307.75</v>
      </c>
      <c r="BP16" s="37"/>
      <c r="BQ16" s="35">
        <v>1276.56</v>
      </c>
      <c r="BR16" s="37"/>
      <c r="BS16" s="35">
        <v>1431.9</v>
      </c>
      <c r="BT16" s="37"/>
      <c r="BU16" s="35">
        <f t="shared" si="23"/>
        <v>18697.17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4"/>
    </row>
    <row r="17" s="169" customFormat="1" ht="27" customHeight="1" spans="1:88">
      <c r="A17" s="48" t="s">
        <v>95</v>
      </c>
      <c r="B17" s="193" t="s">
        <v>278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175"/>
      <c r="R17" s="127"/>
      <c r="S17" s="131">
        <f t="shared" si="7"/>
        <v>2086.1</v>
      </c>
      <c r="T17" s="132">
        <f t="shared" si="8"/>
        <v>-0.229493543716573</v>
      </c>
      <c r="U17" s="35"/>
      <c r="V17" s="35">
        <v>361.83</v>
      </c>
      <c r="W17" s="36">
        <f t="shared" si="9"/>
        <v>-0.207816091954023</v>
      </c>
      <c r="X17" s="35">
        <v>343.35</v>
      </c>
      <c r="Y17" s="36">
        <f t="shared" si="10"/>
        <v>-0.158517756047349</v>
      </c>
      <c r="Z17" s="35">
        <v>344.76</v>
      </c>
      <c r="AA17" s="36">
        <f t="shared" si="11"/>
        <v>-0.00456199110700461</v>
      </c>
      <c r="AB17" s="35">
        <v>326.69</v>
      </c>
      <c r="AC17" s="36">
        <f t="shared" si="12"/>
        <v>-0.0523308096191223</v>
      </c>
      <c r="AD17" s="35">
        <v>330.81</v>
      </c>
      <c r="AE17" s="36">
        <f t="shared" si="13"/>
        <v>-0.0427120409757791</v>
      </c>
      <c r="AF17" s="35">
        <v>333.29</v>
      </c>
      <c r="AG17" s="36">
        <f t="shared" si="14"/>
        <v>0.0541814271255061</v>
      </c>
      <c r="AH17" s="35">
        <v>335.18</v>
      </c>
      <c r="AI17" s="36">
        <f t="shared" si="15"/>
        <v>-0.0806659535368496</v>
      </c>
      <c r="AJ17" s="35">
        <v>331.53</v>
      </c>
      <c r="AK17" s="36">
        <f t="shared" si="16"/>
        <v>-0.0711624127980277</v>
      </c>
      <c r="AL17" s="35">
        <v>321.72</v>
      </c>
      <c r="AM17" s="36">
        <f t="shared" si="17"/>
        <v>-0.0226920623348218</v>
      </c>
      <c r="AN17" s="35">
        <v>328.36</v>
      </c>
      <c r="AO17" s="36">
        <f t="shared" si="18"/>
        <v>-0.0468228395599292</v>
      </c>
      <c r="AP17" s="35">
        <v>306.87</v>
      </c>
      <c r="AQ17" s="36">
        <f t="shared" si="19"/>
        <v>-0.0391094689378758</v>
      </c>
      <c r="AR17" s="35">
        <v>308.58</v>
      </c>
      <c r="AS17" s="36">
        <f t="shared" si="20"/>
        <v>-0.120804604250955</v>
      </c>
      <c r="AT17" s="35">
        <f t="shared" si="21"/>
        <v>3972.97</v>
      </c>
      <c r="AU17" s="36">
        <f t="shared" si="22"/>
        <v>-0.0724121668316554</v>
      </c>
      <c r="AV17" s="194"/>
      <c r="AW17" s="38">
        <v>456.75</v>
      </c>
      <c r="AX17" s="37">
        <f>AW17/BX17-1</f>
        <v>0.117157881863764</v>
      </c>
      <c r="AY17" s="38">
        <v>408.03</v>
      </c>
      <c r="AZ17" s="37">
        <f>AY17/BY17-1</f>
        <v>0.0220680326636942</v>
      </c>
      <c r="BA17" s="38">
        <v>346.34</v>
      </c>
      <c r="BB17" s="37">
        <f>BA17/BZ17-1</f>
        <v>-0.0980729166666667</v>
      </c>
      <c r="BC17" s="38">
        <v>344.73</v>
      </c>
      <c r="BD17" s="37">
        <f>BC17/CA17-1</f>
        <v>-0.146707920792079</v>
      </c>
      <c r="BE17" s="38">
        <v>345.57</v>
      </c>
      <c r="BF17" s="37">
        <f>BE17/CB17-1</f>
        <v>-0.104903255886238</v>
      </c>
      <c r="BG17" s="38">
        <v>316.16</v>
      </c>
      <c r="BH17" s="37">
        <f>BG17/CC17-1</f>
        <v>-0.227747923790913</v>
      </c>
      <c r="BI17" s="38">
        <v>364.59</v>
      </c>
      <c r="BJ17" s="37">
        <f>BI17/CD17-1</f>
        <v>-0.136145006515816</v>
      </c>
      <c r="BK17" s="38">
        <v>356.93</v>
      </c>
      <c r="BL17" s="37">
        <f>BK17/CE17-1</f>
        <v>-0.190598213070888</v>
      </c>
      <c r="BM17" s="38">
        <v>329.19</v>
      </c>
      <c r="BN17" s="37">
        <f>BM17/CF17-1</f>
        <v>-0.232227819759306</v>
      </c>
      <c r="BO17" s="38">
        <v>344.49</v>
      </c>
      <c r="BP17" s="37">
        <f>BO17/CG17-1</f>
        <v>-0.243045484508899</v>
      </c>
      <c r="BQ17" s="38">
        <v>319.36</v>
      </c>
      <c r="BR17" s="37">
        <f>BQ17/CH17-1</f>
        <v>-0.302661746402603</v>
      </c>
      <c r="BS17" s="38">
        <v>350.98</v>
      </c>
      <c r="BT17" s="37">
        <f>BS17/CI17-1</f>
        <v>-0.339741901501185</v>
      </c>
      <c r="BU17" s="38">
        <f t="shared" si="23"/>
        <v>4283.12</v>
      </c>
      <c r="BV17" s="37">
        <f>BU17/CJ17-1</f>
        <v>-0.164754932741547</v>
      </c>
      <c r="BW17" s="39"/>
      <c r="BX17" s="195">
        <v>408.85</v>
      </c>
      <c r="BY17" s="195">
        <v>399.22</v>
      </c>
      <c r="BZ17" s="195">
        <v>384</v>
      </c>
      <c r="CA17" s="195">
        <v>404</v>
      </c>
      <c r="CB17" s="195">
        <v>386.07</v>
      </c>
      <c r="CC17" s="195">
        <v>409.4</v>
      </c>
      <c r="CD17" s="195">
        <v>422.05</v>
      </c>
      <c r="CE17" s="195">
        <v>440.98</v>
      </c>
      <c r="CF17" s="195">
        <v>428.76</v>
      </c>
      <c r="CG17" s="195">
        <v>455.1</v>
      </c>
      <c r="CH17" s="195">
        <v>457.97</v>
      </c>
      <c r="CI17" s="195">
        <v>531.58</v>
      </c>
      <c r="CJ17" s="38">
        <f>BX17+BY17+BZ17+CA17+CB17+CC17+CD17+CE17+CF17+CG17+CH17+CI17</f>
        <v>5127.98</v>
      </c>
    </row>
    <row r="18" s="170" customFormat="1" ht="27" customHeight="1" spans="1:88">
      <c r="A18" s="45"/>
      <c r="B18" s="193" t="s">
        <v>279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175"/>
      <c r="R18" s="127"/>
      <c r="S18" s="35">
        <f t="shared" si="7"/>
        <v>12987.43</v>
      </c>
      <c r="T18" s="132">
        <f t="shared" si="8"/>
        <v>-0.203648245778623</v>
      </c>
      <c r="U18" s="35"/>
      <c r="V18" s="35">
        <v>2225.25</v>
      </c>
      <c r="W18" s="36">
        <f t="shared" si="9"/>
        <v>-0.19205213855203</v>
      </c>
      <c r="X18" s="35">
        <v>2173.41</v>
      </c>
      <c r="Y18" s="36">
        <f t="shared" si="10"/>
        <v>-0.109265497823788</v>
      </c>
      <c r="Z18" s="35">
        <v>2130.62</v>
      </c>
      <c r="AA18" s="36">
        <f t="shared" si="11"/>
        <v>0.0462268227529854</v>
      </c>
      <c r="AB18" s="35">
        <v>1969.94</v>
      </c>
      <c r="AC18" s="36">
        <f t="shared" si="12"/>
        <v>-0.0314517358191857</v>
      </c>
      <c r="AD18" s="35">
        <v>2001.4</v>
      </c>
      <c r="AE18" s="36">
        <f t="shared" si="13"/>
        <v>-0.00658668665339734</v>
      </c>
      <c r="AF18" s="35">
        <v>2019.74</v>
      </c>
      <c r="AG18" s="36">
        <f t="shared" si="14"/>
        <v>0.103339397018415</v>
      </c>
      <c r="AH18" s="35">
        <v>2031.19</v>
      </c>
      <c r="AI18" s="36">
        <f t="shared" si="15"/>
        <v>-0.0460358536734282</v>
      </c>
      <c r="AJ18" s="35">
        <v>1757.11</v>
      </c>
      <c r="AK18" s="36">
        <f t="shared" si="16"/>
        <v>-0.159924651345136</v>
      </c>
      <c r="AL18" s="35">
        <v>1936.75</v>
      </c>
      <c r="AM18" s="36">
        <f t="shared" si="17"/>
        <v>0.00915495159390978</v>
      </c>
      <c r="AN18" s="35">
        <v>1730.46</v>
      </c>
      <c r="AO18" s="36">
        <f t="shared" si="18"/>
        <v>-0.159991262348001</v>
      </c>
      <c r="AP18" s="35">
        <v>1844.29</v>
      </c>
      <c r="AQ18" s="36">
        <f t="shared" si="19"/>
        <v>-0.0128301200047103</v>
      </c>
      <c r="AR18" s="35">
        <v>1845.31</v>
      </c>
      <c r="AS18" s="36">
        <f t="shared" si="20"/>
        <v>-0.120803674375613</v>
      </c>
      <c r="AT18" s="35">
        <f t="shared" si="21"/>
        <v>23665.47</v>
      </c>
      <c r="AU18" s="36">
        <f t="shared" si="22"/>
        <v>-0.0637555376385348</v>
      </c>
      <c r="AV18" s="196"/>
      <c r="AW18" s="35">
        <v>2754.2</v>
      </c>
      <c r="AX18" s="36"/>
      <c r="AY18" s="35">
        <v>2440.02</v>
      </c>
      <c r="AZ18" s="36"/>
      <c r="BA18" s="35">
        <v>2036.48</v>
      </c>
      <c r="BB18" s="36"/>
      <c r="BC18" s="35">
        <v>2033.91</v>
      </c>
      <c r="BD18" s="36"/>
      <c r="BE18" s="35">
        <v>2014.67</v>
      </c>
      <c r="BF18" s="36"/>
      <c r="BG18" s="35">
        <v>1830.57</v>
      </c>
      <c r="BH18" s="36"/>
      <c r="BI18" s="35">
        <v>2129.21</v>
      </c>
      <c r="BJ18" s="36"/>
      <c r="BK18" s="35">
        <v>2091.61</v>
      </c>
      <c r="BL18" s="36"/>
      <c r="BM18" s="35">
        <v>1919.18</v>
      </c>
      <c r="BN18" s="36"/>
      <c r="BO18" s="35">
        <v>2060.05</v>
      </c>
      <c r="BP18" s="37"/>
      <c r="BQ18" s="35">
        <v>1868.26</v>
      </c>
      <c r="BR18" s="37"/>
      <c r="BS18" s="35">
        <v>2098.86</v>
      </c>
      <c r="BT18" s="37"/>
      <c r="BU18" s="35">
        <f t="shared" si="23"/>
        <v>25277.02</v>
      </c>
      <c r="BV18" s="36"/>
      <c r="BW18" s="40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4"/>
    </row>
    <row r="19" s="170" customFormat="1" ht="27" customHeight="1" spans="1:88">
      <c r="A19" s="45"/>
      <c r="B19" s="193" t="s">
        <v>280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175"/>
      <c r="R19" s="127"/>
      <c r="S19" s="35">
        <f t="shared" si="7"/>
        <v>2071.07</v>
      </c>
      <c r="T19" s="132">
        <f t="shared" si="8"/>
        <v>-0.223279816083677</v>
      </c>
      <c r="U19" s="35"/>
      <c r="V19" s="35">
        <v>354.53</v>
      </c>
      <c r="W19" s="36">
        <f t="shared" si="9"/>
        <v>-0.208585396343505</v>
      </c>
      <c r="X19" s="35">
        <v>336.71</v>
      </c>
      <c r="Y19" s="36">
        <f t="shared" si="10"/>
        <v>-0.148065683273031</v>
      </c>
      <c r="Z19" s="35">
        <v>339.59</v>
      </c>
      <c r="AA19" s="36">
        <f t="shared" si="11"/>
        <v>0.0124623595003128</v>
      </c>
      <c r="AB19" s="35">
        <v>321.66</v>
      </c>
      <c r="AC19" s="36">
        <f t="shared" si="12"/>
        <v>-0.0390751030650653</v>
      </c>
      <c r="AD19" s="35">
        <v>326.67</v>
      </c>
      <c r="AE19" s="36">
        <f t="shared" si="13"/>
        <v>-0.0295585526706672</v>
      </c>
      <c r="AF19" s="35">
        <v>329.79</v>
      </c>
      <c r="AG19" s="36">
        <f t="shared" si="14"/>
        <v>0.0646285954094974</v>
      </c>
      <c r="AH19" s="35">
        <v>330.79</v>
      </c>
      <c r="AI19" s="36">
        <f t="shared" si="15"/>
        <v>-0.0761604200413338</v>
      </c>
      <c r="AJ19" s="35">
        <v>326.69</v>
      </c>
      <c r="AK19" s="36">
        <f t="shared" si="16"/>
        <v>-0.0673461231015188</v>
      </c>
      <c r="AL19" s="35">
        <v>316.82</v>
      </c>
      <c r="AM19" s="36">
        <f t="shared" si="17"/>
        <v>-0.0166366627351171</v>
      </c>
      <c r="AN19" s="35">
        <v>323.71</v>
      </c>
      <c r="AO19" s="36">
        <f t="shared" si="18"/>
        <v>-0.0394647043114448</v>
      </c>
      <c r="AP19" s="35">
        <v>302.75</v>
      </c>
      <c r="AQ19" s="36">
        <f t="shared" si="19"/>
        <v>-0.0320982128584674</v>
      </c>
      <c r="AR19" s="35">
        <v>304.09</v>
      </c>
      <c r="AS19" s="36">
        <f t="shared" si="20"/>
        <v>-0.114859554649978</v>
      </c>
      <c r="AT19" s="35">
        <f t="shared" si="21"/>
        <v>3913.8</v>
      </c>
      <c r="AU19" s="36">
        <f t="shared" si="22"/>
        <v>-0.0644921491247987</v>
      </c>
      <c r="AV19" s="196"/>
      <c r="AW19" s="35">
        <v>447.97</v>
      </c>
      <c r="AX19" s="36"/>
      <c r="AY19" s="35">
        <v>395.23</v>
      </c>
      <c r="AZ19" s="36"/>
      <c r="BA19" s="35">
        <v>335.41</v>
      </c>
      <c r="BB19" s="36"/>
      <c r="BC19" s="35">
        <v>334.74</v>
      </c>
      <c r="BD19" s="36"/>
      <c r="BE19" s="35">
        <v>336.62</v>
      </c>
      <c r="BF19" s="36"/>
      <c r="BG19" s="35">
        <v>309.77</v>
      </c>
      <c r="BH19" s="36"/>
      <c r="BI19" s="35">
        <v>358.06</v>
      </c>
      <c r="BJ19" s="36"/>
      <c r="BK19" s="35">
        <v>350.28</v>
      </c>
      <c r="BL19" s="36"/>
      <c r="BM19" s="35">
        <v>322.18</v>
      </c>
      <c r="BN19" s="36"/>
      <c r="BO19" s="35">
        <v>337.01</v>
      </c>
      <c r="BP19" s="37"/>
      <c r="BQ19" s="35">
        <v>312.79</v>
      </c>
      <c r="BR19" s="37"/>
      <c r="BS19" s="35">
        <v>343.55</v>
      </c>
      <c r="BT19" s="37"/>
      <c r="BU19" s="35">
        <f t="shared" si="23"/>
        <v>4183.61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4"/>
    </row>
    <row r="20" s="170" customFormat="1" ht="27" customHeight="1" spans="1:88">
      <c r="A20" s="29"/>
      <c r="B20" s="193" t="s">
        <v>276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175"/>
      <c r="R20" s="127"/>
      <c r="S20" s="35">
        <f t="shared" si="7"/>
        <v>12592.21</v>
      </c>
      <c r="T20" s="132">
        <f t="shared" si="8"/>
        <v>0.0659025230114969</v>
      </c>
      <c r="U20" s="35"/>
      <c r="V20" s="35">
        <v>1499.66</v>
      </c>
      <c r="W20" s="36">
        <f t="shared" si="9"/>
        <v>-0.221469472088544</v>
      </c>
      <c r="X20" s="35">
        <v>1474.79</v>
      </c>
      <c r="Y20" s="36">
        <f t="shared" si="10"/>
        <v>-0.113665320448099</v>
      </c>
      <c r="Z20" s="35">
        <v>1463.63</v>
      </c>
      <c r="AA20" s="36">
        <f t="shared" si="11"/>
        <v>0.0721621542428506</v>
      </c>
      <c r="AB20" s="35">
        <v>1357.41</v>
      </c>
      <c r="AC20" s="36">
        <f t="shared" si="12"/>
        <v>0.0214384613069258</v>
      </c>
      <c r="AD20" s="35">
        <v>1378.55</v>
      </c>
      <c r="AE20" s="36">
        <f t="shared" si="13"/>
        <v>0.0394109841059203</v>
      </c>
      <c r="AF20" s="35">
        <v>1395.01</v>
      </c>
      <c r="AG20" s="36">
        <f t="shared" si="14"/>
        <v>0.157675040041162</v>
      </c>
      <c r="AH20" s="35">
        <v>1627.49</v>
      </c>
      <c r="AI20" s="36">
        <f t="shared" si="15"/>
        <v>0.156561349649654</v>
      </c>
      <c r="AJ20" s="35">
        <v>1617.12</v>
      </c>
      <c r="AK20" s="36">
        <f t="shared" si="16"/>
        <v>0.171741178175495</v>
      </c>
      <c r="AL20" s="35">
        <v>1799.54</v>
      </c>
      <c r="AM20" s="36">
        <f t="shared" si="17"/>
        <v>0.428523798939447</v>
      </c>
      <c r="AN20" s="35">
        <v>1582.94</v>
      </c>
      <c r="AO20" s="36">
        <f t="shared" si="18"/>
        <v>0.159756463890863</v>
      </c>
      <c r="AP20" s="35">
        <v>1710.54</v>
      </c>
      <c r="AQ20" s="36">
        <f t="shared" si="19"/>
        <v>0.370592053075647</v>
      </c>
      <c r="AR20" s="35">
        <v>1708.99</v>
      </c>
      <c r="AS20" s="36">
        <f t="shared" si="20"/>
        <v>0.222234936527803</v>
      </c>
      <c r="AT20" s="35">
        <f t="shared" si="21"/>
        <v>18615.67</v>
      </c>
      <c r="AU20" s="36">
        <f t="shared" si="22"/>
        <v>0.103236458652494</v>
      </c>
      <c r="AV20" s="196"/>
      <c r="AW20" s="35">
        <v>1926.27</v>
      </c>
      <c r="AX20" s="36"/>
      <c r="AY20" s="35">
        <v>1663.92</v>
      </c>
      <c r="AZ20" s="36"/>
      <c r="BA20" s="35">
        <v>1365.12</v>
      </c>
      <c r="BB20" s="36"/>
      <c r="BC20" s="35">
        <v>1328.92</v>
      </c>
      <c r="BD20" s="36"/>
      <c r="BE20" s="35">
        <v>1326.28</v>
      </c>
      <c r="BF20" s="36"/>
      <c r="BG20" s="35">
        <v>1205.01</v>
      </c>
      <c r="BH20" s="36"/>
      <c r="BI20" s="35">
        <v>1407.18</v>
      </c>
      <c r="BJ20" s="36"/>
      <c r="BK20" s="35">
        <v>1380.1</v>
      </c>
      <c r="BL20" s="36"/>
      <c r="BM20" s="35">
        <v>1259.72</v>
      </c>
      <c r="BN20" s="36"/>
      <c r="BO20" s="35">
        <v>1364.89</v>
      </c>
      <c r="BP20" s="37"/>
      <c r="BQ20" s="35">
        <v>1248.03</v>
      </c>
      <c r="BR20" s="37"/>
      <c r="BS20" s="35">
        <v>1398.25</v>
      </c>
      <c r="BT20" s="37"/>
      <c r="BU20" s="35">
        <f t="shared" si="23"/>
        <v>16873.69</v>
      </c>
      <c r="BV20" s="36"/>
      <c r="BW20" s="40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4"/>
    </row>
    <row r="21" s="171" customFormat="1" ht="27" customHeight="1" spans="1:88">
      <c r="A21" s="48" t="s">
        <v>96</v>
      </c>
      <c r="B21" s="193" t="s">
        <v>278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175"/>
      <c r="R21" s="127"/>
      <c r="S21" s="131">
        <f t="shared" si="7"/>
        <v>5653.67</v>
      </c>
      <c r="T21" s="132">
        <f t="shared" si="8"/>
        <v>-0.0611718600808695</v>
      </c>
      <c r="U21" s="35"/>
      <c r="V21" s="35">
        <v>808.8</v>
      </c>
      <c r="W21" s="36">
        <f t="shared" si="9"/>
        <v>0.074018006533344</v>
      </c>
      <c r="X21" s="35">
        <v>746.95</v>
      </c>
      <c r="Y21" s="36">
        <f t="shared" si="10"/>
        <v>-0.0117486736435441</v>
      </c>
      <c r="Z21" s="35">
        <v>737.45</v>
      </c>
      <c r="AA21" s="36">
        <f t="shared" si="11"/>
        <v>-0.0116333614785626</v>
      </c>
      <c r="AB21" s="35">
        <v>740.07</v>
      </c>
      <c r="AC21" s="36">
        <f t="shared" si="12"/>
        <v>-0.00860024916609725</v>
      </c>
      <c r="AD21" s="35">
        <v>756</v>
      </c>
      <c r="AE21" s="36">
        <f t="shared" si="13"/>
        <v>0.0146970002013289</v>
      </c>
      <c r="AF21" s="35">
        <v>731.51</v>
      </c>
      <c r="AG21" s="36">
        <f t="shared" si="14"/>
        <v>-0.0192000858104394</v>
      </c>
      <c r="AH21" s="35">
        <v>752.22</v>
      </c>
      <c r="AI21" s="36">
        <f t="shared" si="15"/>
        <v>-0.0148385829349746</v>
      </c>
      <c r="AJ21" s="35">
        <v>749.05</v>
      </c>
      <c r="AK21" s="36">
        <f t="shared" si="16"/>
        <v>-0.0307449437766074</v>
      </c>
      <c r="AL21" s="35">
        <v>726.84</v>
      </c>
      <c r="AM21" s="36">
        <f t="shared" si="17"/>
        <v>-0.0371322214421026</v>
      </c>
      <c r="AN21" s="35">
        <v>748.87</v>
      </c>
      <c r="AO21" s="36">
        <f t="shared" si="18"/>
        <v>-0.0180814517609419</v>
      </c>
      <c r="AP21" s="35">
        <v>702.39</v>
      </c>
      <c r="AQ21" s="36">
        <f t="shared" si="19"/>
        <v>-0.0282508543047273</v>
      </c>
      <c r="AR21" s="35">
        <v>710.44</v>
      </c>
      <c r="AS21" s="36">
        <f t="shared" si="20"/>
        <v>-0.0397253423083681</v>
      </c>
      <c r="AT21" s="35">
        <f t="shared" si="21"/>
        <v>8910.59</v>
      </c>
      <c r="AU21" s="36">
        <f t="shared" si="22"/>
        <v>-0.0109147378376099</v>
      </c>
      <c r="AV21" s="194"/>
      <c r="AW21" s="38">
        <v>753.06</v>
      </c>
      <c r="AX21" s="37">
        <f>AW21/BX21-1</f>
        <v>0.0135942715623989</v>
      </c>
      <c r="AY21" s="38">
        <v>755.83</v>
      </c>
      <c r="AZ21" s="37">
        <f>AY21/BY21-1</f>
        <v>-0.0145632333767927</v>
      </c>
      <c r="BA21" s="38">
        <v>746.13</v>
      </c>
      <c r="BB21" s="37">
        <f>BA21/BZ21-1</f>
        <v>-0.11857058476078</v>
      </c>
      <c r="BC21" s="38">
        <v>746.49</v>
      </c>
      <c r="BD21" s="37">
        <f>BC21/CA21-1</f>
        <v>-0.118353608125664</v>
      </c>
      <c r="BE21" s="38">
        <v>745.05</v>
      </c>
      <c r="BF21" s="37">
        <f>BE21/CB21-1</f>
        <v>-0.119971179513832</v>
      </c>
      <c r="BG21" s="38">
        <v>745.83</v>
      </c>
      <c r="BH21" s="37">
        <f>BG21/CC21-1</f>
        <v>-0.120898161244696</v>
      </c>
      <c r="BI21" s="38">
        <v>763.55</v>
      </c>
      <c r="BJ21" s="37">
        <f>BI21/CD21-1</f>
        <v>-0.0785281552460718</v>
      </c>
      <c r="BK21" s="38">
        <v>772.81</v>
      </c>
      <c r="BL21" s="37">
        <f>BK21/CE21-1</f>
        <v>-0.0791439772172111</v>
      </c>
      <c r="BM21" s="38">
        <v>754.87</v>
      </c>
      <c r="BN21" s="37">
        <f>BM21/CF21-1</f>
        <v>-0.0665982466336107</v>
      </c>
      <c r="BO21" s="38">
        <v>762.66</v>
      </c>
      <c r="BP21" s="37">
        <f>BO21/CG21-1</f>
        <v>-0.0671966731898239</v>
      </c>
      <c r="BQ21" s="38">
        <v>722.81</v>
      </c>
      <c r="BR21" s="37">
        <f>BQ21/CH21-1</f>
        <v>-0.0899235737758585</v>
      </c>
      <c r="BS21" s="38">
        <v>739.83</v>
      </c>
      <c r="BT21" s="37">
        <f>BS21/CI21-1</f>
        <v>-0.0731850923896022</v>
      </c>
      <c r="BU21" s="38">
        <f t="shared" si="23"/>
        <v>9008.92</v>
      </c>
      <c r="BV21" s="37">
        <f>BU21/CJ21-1</f>
        <v>-0.0792981796329831</v>
      </c>
      <c r="BW21" s="39"/>
      <c r="BX21" s="197">
        <v>742.96</v>
      </c>
      <c r="BY21" s="197">
        <v>767</v>
      </c>
      <c r="BZ21" s="197">
        <v>846.5</v>
      </c>
      <c r="CA21" s="197">
        <v>846.7</v>
      </c>
      <c r="CB21" s="197">
        <v>846.62</v>
      </c>
      <c r="CC21" s="197">
        <v>848.4</v>
      </c>
      <c r="CD21" s="197">
        <v>828.62</v>
      </c>
      <c r="CE21" s="197">
        <v>839.23</v>
      </c>
      <c r="CF21" s="197">
        <v>808.73</v>
      </c>
      <c r="CG21" s="197">
        <v>817.6</v>
      </c>
      <c r="CH21" s="197">
        <v>794.23</v>
      </c>
      <c r="CI21" s="197">
        <v>798.25</v>
      </c>
      <c r="CJ21" s="38">
        <f>BX21+BY21+BZ21+CA21+CB21+CC21+CD21+CE21+CF21+CG21+CH21+CI21</f>
        <v>9784.84</v>
      </c>
    </row>
    <row r="22" ht="27" customHeight="1" spans="1:88">
      <c r="A22" s="45"/>
      <c r="B22" s="193" t="s">
        <v>279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175"/>
      <c r="R22" s="127"/>
      <c r="S22" s="35">
        <f t="shared" si="7"/>
        <v>28268.35</v>
      </c>
      <c r="T22" s="132">
        <f t="shared" si="8"/>
        <v>-0.0611718600808693</v>
      </c>
      <c r="U22" s="35"/>
      <c r="V22" s="35">
        <v>4044</v>
      </c>
      <c r="W22" s="36">
        <f t="shared" si="9"/>
        <v>0.074018006533344</v>
      </c>
      <c r="X22" s="35">
        <v>3734.75</v>
      </c>
      <c r="Y22" s="36">
        <f t="shared" si="10"/>
        <v>-0.0117486736435443</v>
      </c>
      <c r="Z22" s="35">
        <v>3687.25</v>
      </c>
      <c r="AA22" s="36">
        <f t="shared" si="11"/>
        <v>-0.0116333614785628</v>
      </c>
      <c r="AB22" s="35">
        <v>3700.35</v>
      </c>
      <c r="AC22" s="36">
        <f t="shared" si="12"/>
        <v>-0.00860024916609736</v>
      </c>
      <c r="AD22" s="35">
        <v>3780</v>
      </c>
      <c r="AE22" s="36">
        <f t="shared" si="13"/>
        <v>0.0146970002013287</v>
      </c>
      <c r="AF22" s="35">
        <v>3657.55</v>
      </c>
      <c r="AG22" s="36">
        <f t="shared" si="14"/>
        <v>-0.0192000858104393</v>
      </c>
      <c r="AH22" s="35">
        <v>3761.1</v>
      </c>
      <c r="AI22" s="36">
        <f t="shared" si="15"/>
        <v>-0.0148385829349749</v>
      </c>
      <c r="AJ22" s="35">
        <v>3745.25</v>
      </c>
      <c r="AK22" s="36">
        <f t="shared" si="16"/>
        <v>-0.0307449437766075</v>
      </c>
      <c r="AL22" s="35">
        <v>3634.2</v>
      </c>
      <c r="AM22" s="36">
        <f t="shared" si="17"/>
        <v>-0.0371322214421026</v>
      </c>
      <c r="AN22" s="35">
        <v>3744.35</v>
      </c>
      <c r="AO22" s="36">
        <f t="shared" si="18"/>
        <v>-0.018081451760942</v>
      </c>
      <c r="AP22" s="35">
        <v>3511.95</v>
      </c>
      <c r="AQ22" s="36">
        <f t="shared" si="19"/>
        <v>-0.0282508543047275</v>
      </c>
      <c r="AR22" s="35">
        <v>3552.2</v>
      </c>
      <c r="AS22" s="36">
        <f t="shared" si="20"/>
        <v>-0.0397253423083682</v>
      </c>
      <c r="AT22" s="35">
        <f t="shared" si="21"/>
        <v>44552.95</v>
      </c>
      <c r="AU22" s="36">
        <f t="shared" si="22"/>
        <v>-0.0109147378376102</v>
      </c>
      <c r="AV22" s="196"/>
      <c r="AW22" s="35">
        <v>3765.3</v>
      </c>
      <c r="AX22" s="36"/>
      <c r="AY22" s="35">
        <v>3779.15</v>
      </c>
      <c r="AZ22" s="36"/>
      <c r="BA22" s="35">
        <v>3730.65</v>
      </c>
      <c r="BB22" s="36"/>
      <c r="BC22" s="35">
        <v>3732.45</v>
      </c>
      <c r="BD22" s="36"/>
      <c r="BE22" s="35">
        <v>3725.25</v>
      </c>
      <c r="BF22" s="36"/>
      <c r="BG22" s="35">
        <v>3729.15</v>
      </c>
      <c r="BH22" s="36"/>
      <c r="BI22" s="35">
        <v>3817.75</v>
      </c>
      <c r="BJ22" s="36"/>
      <c r="BK22" s="35">
        <v>3864.05</v>
      </c>
      <c r="BL22" s="36"/>
      <c r="BM22" s="35">
        <v>3774.35</v>
      </c>
      <c r="BN22" s="36"/>
      <c r="BO22" s="35">
        <v>3813.3</v>
      </c>
      <c r="BP22" s="37"/>
      <c r="BQ22" s="35">
        <v>3614.05</v>
      </c>
      <c r="BR22" s="37"/>
      <c r="BS22" s="35">
        <v>3699.15</v>
      </c>
      <c r="BT22" s="37"/>
      <c r="BU22" s="35">
        <f t="shared" si="23"/>
        <v>45044.6</v>
      </c>
      <c r="BV22" s="36"/>
      <c r="BW22" s="40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4"/>
    </row>
    <row r="23" ht="27" customHeight="1" spans="1:88">
      <c r="A23" s="45"/>
      <c r="B23" s="193" t="s">
        <v>280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175"/>
      <c r="R23" s="127"/>
      <c r="S23" s="35">
        <f t="shared" si="7"/>
        <v>5365.83</v>
      </c>
      <c r="T23" s="132">
        <f t="shared" si="8"/>
        <v>0.00352160089769971</v>
      </c>
      <c r="U23" s="35"/>
      <c r="V23" s="35">
        <v>756.41</v>
      </c>
      <c r="W23" s="36">
        <f t="shared" si="9"/>
        <v>0.089676731589259</v>
      </c>
      <c r="X23" s="35">
        <v>658.88</v>
      </c>
      <c r="Y23" s="36">
        <f t="shared" si="10"/>
        <v>-0.048452551160406</v>
      </c>
      <c r="Z23" s="35">
        <v>649.59</v>
      </c>
      <c r="AA23" s="36">
        <f t="shared" si="11"/>
        <v>-0.0710322340760232</v>
      </c>
      <c r="AB23" s="35">
        <v>649.36</v>
      </c>
      <c r="AC23" s="36">
        <f t="shared" si="12"/>
        <v>-0.0763409811814574</v>
      </c>
      <c r="AD23" s="35">
        <v>661.19</v>
      </c>
      <c r="AE23" s="36">
        <f t="shared" si="13"/>
        <v>-0.0548487620790209</v>
      </c>
      <c r="AF23" s="35">
        <v>650.09</v>
      </c>
      <c r="AG23" s="36">
        <f t="shared" si="14"/>
        <v>-0.0811708502939845</v>
      </c>
      <c r="AH23" s="35">
        <v>657.16</v>
      </c>
      <c r="AI23" s="36">
        <f t="shared" si="15"/>
        <v>-0.0891500803903089</v>
      </c>
      <c r="AJ23" s="35">
        <v>664.32</v>
      </c>
      <c r="AK23" s="36">
        <f t="shared" si="16"/>
        <v>-0.0962739256417581</v>
      </c>
      <c r="AL23" s="35">
        <v>646.5</v>
      </c>
      <c r="AM23" s="36">
        <f t="shared" si="17"/>
        <v>-0.100609331960713</v>
      </c>
      <c r="AN23" s="35">
        <v>660.72</v>
      </c>
      <c r="AO23" s="36">
        <f t="shared" si="18"/>
        <v>-0.0909691266303451</v>
      </c>
      <c r="AP23" s="35">
        <v>634.25</v>
      </c>
      <c r="AQ23" s="36">
        <f t="shared" si="19"/>
        <v>-0.0807038395199512</v>
      </c>
      <c r="AR23" s="35">
        <v>642.58</v>
      </c>
      <c r="AS23" s="36">
        <f t="shared" si="20"/>
        <v>-0.0880474582044222</v>
      </c>
      <c r="AT23" s="35">
        <f t="shared" si="21"/>
        <v>7931.05</v>
      </c>
      <c r="AU23" s="36">
        <f t="shared" si="22"/>
        <v>-0.0661376658180989</v>
      </c>
      <c r="AV23" s="196"/>
      <c r="AW23" s="35">
        <v>694.16</v>
      </c>
      <c r="AX23" s="36"/>
      <c r="AY23" s="35">
        <v>692.43</v>
      </c>
      <c r="AZ23" s="36"/>
      <c r="BA23" s="35">
        <v>699.26</v>
      </c>
      <c r="BB23" s="36"/>
      <c r="BC23" s="35">
        <v>703.03</v>
      </c>
      <c r="BD23" s="36"/>
      <c r="BE23" s="198">
        <v>699.56</v>
      </c>
      <c r="BF23" s="36"/>
      <c r="BG23" s="198">
        <v>707.52</v>
      </c>
      <c r="BH23" s="36"/>
      <c r="BI23" s="198">
        <v>721.48</v>
      </c>
      <c r="BJ23" s="36"/>
      <c r="BK23" s="198">
        <v>735.09</v>
      </c>
      <c r="BL23" s="36"/>
      <c r="BM23" s="198">
        <v>718.82</v>
      </c>
      <c r="BN23" s="36"/>
      <c r="BO23" s="198">
        <v>726.84</v>
      </c>
      <c r="BP23" s="37"/>
      <c r="BQ23" s="198">
        <v>689.93</v>
      </c>
      <c r="BR23" s="37"/>
      <c r="BS23" s="198">
        <v>704.62</v>
      </c>
      <c r="BT23" s="37"/>
      <c r="BU23" s="35">
        <f t="shared" si="23"/>
        <v>8492.74</v>
      </c>
      <c r="BV23" s="36"/>
      <c r="BW23" s="40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4"/>
    </row>
    <row r="24" ht="27" customHeight="1" spans="1:88">
      <c r="A24" s="29"/>
      <c r="B24" s="193" t="s">
        <v>276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175"/>
      <c r="R24" s="127"/>
      <c r="S24" s="35">
        <f t="shared" si="7"/>
        <v>24976.04</v>
      </c>
      <c r="T24" s="132">
        <f t="shared" si="8"/>
        <v>-0.0268670905803877</v>
      </c>
      <c r="U24" s="35"/>
      <c r="V24" s="35">
        <v>3630.77</v>
      </c>
      <c r="W24" s="36">
        <f t="shared" si="9"/>
        <v>0.0896766777612044</v>
      </c>
      <c r="X24" s="35">
        <v>3162.62</v>
      </c>
      <c r="Y24" s="36">
        <f t="shared" si="10"/>
        <v>-0.0484526094726897</v>
      </c>
      <c r="Z24" s="35">
        <v>3118.03</v>
      </c>
      <c r="AA24" s="36">
        <f t="shared" si="11"/>
        <v>-0.0710333834855278</v>
      </c>
      <c r="AB24" s="35">
        <v>3116.93</v>
      </c>
      <c r="AC24" s="36">
        <f t="shared" si="12"/>
        <v>-0.0763392936518755</v>
      </c>
      <c r="AD24" s="35">
        <v>3173.71</v>
      </c>
      <c r="AE24" s="36">
        <f t="shared" si="13"/>
        <v>-0.0548499206346842</v>
      </c>
      <c r="AF24" s="35">
        <v>3120.43</v>
      </c>
      <c r="AG24" s="36">
        <f t="shared" si="14"/>
        <v>-0.0811725214216307</v>
      </c>
      <c r="AH24" s="35">
        <v>3154.37</v>
      </c>
      <c r="AI24" s="36">
        <f t="shared" si="15"/>
        <v>-0.0891484508099679</v>
      </c>
      <c r="AJ24" s="35">
        <v>3188.74</v>
      </c>
      <c r="AK24" s="36">
        <f t="shared" si="16"/>
        <v>-0.0962722797391474</v>
      </c>
      <c r="AL24" s="35">
        <v>3103.2</v>
      </c>
      <c r="AM24" s="36">
        <f t="shared" si="17"/>
        <v>-0.100610374629747</v>
      </c>
      <c r="AN24" s="35">
        <v>3171.46</v>
      </c>
      <c r="AO24" s="36">
        <f t="shared" si="18"/>
        <v>-0.0909674590048812</v>
      </c>
      <c r="AP24" s="35">
        <v>3044.4</v>
      </c>
      <c r="AQ24" s="36">
        <f t="shared" si="19"/>
        <v>-0.0807027291449001</v>
      </c>
      <c r="AR24" s="35">
        <v>3084.38</v>
      </c>
      <c r="AS24" s="36">
        <f t="shared" si="20"/>
        <v>-0.0880497194117403</v>
      </c>
      <c r="AT24" s="35">
        <f t="shared" si="21"/>
        <v>38069.04</v>
      </c>
      <c r="AU24" s="36">
        <f t="shared" si="22"/>
        <v>-0.0661376200013984</v>
      </c>
      <c r="AV24" s="196"/>
      <c r="AW24" s="35">
        <v>3331.97</v>
      </c>
      <c r="AX24" s="36"/>
      <c r="AY24" s="35">
        <v>3323.66</v>
      </c>
      <c r="AZ24" s="36"/>
      <c r="BA24" s="35">
        <v>3356.45</v>
      </c>
      <c r="BB24" s="36"/>
      <c r="BC24" s="35">
        <v>3374.54</v>
      </c>
      <c r="BD24" s="36"/>
      <c r="BE24" s="199">
        <v>3357.89</v>
      </c>
      <c r="BF24" s="36"/>
      <c r="BG24" s="199">
        <v>3396.1</v>
      </c>
      <c r="BH24" s="36"/>
      <c r="BI24" s="199">
        <v>3463.1</v>
      </c>
      <c r="BJ24" s="36"/>
      <c r="BK24" s="199">
        <v>3528.43</v>
      </c>
      <c r="BL24" s="36"/>
      <c r="BM24" s="199">
        <v>3450.34</v>
      </c>
      <c r="BN24" s="36"/>
      <c r="BO24" s="199">
        <v>3488.83</v>
      </c>
      <c r="BP24" s="37"/>
      <c r="BQ24" s="199">
        <v>3311.66</v>
      </c>
      <c r="BR24" s="37"/>
      <c r="BS24" s="199">
        <v>3382.18</v>
      </c>
      <c r="BT24" s="37"/>
      <c r="BU24" s="35">
        <f t="shared" si="23"/>
        <v>40765.15</v>
      </c>
      <c r="BV24" s="36"/>
      <c r="BW24" s="40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4"/>
    </row>
    <row r="25" s="171" customFormat="1" ht="27" customHeight="1" spans="1:88">
      <c r="A25" s="48" t="s">
        <v>97</v>
      </c>
      <c r="B25" s="193" t="s">
        <v>278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175"/>
      <c r="R25" s="127"/>
      <c r="S25" s="131">
        <f t="shared" si="7"/>
        <v>2632.06</v>
      </c>
      <c r="T25" s="132">
        <f t="shared" si="8"/>
        <v>-0.171938412750347</v>
      </c>
      <c r="U25" s="35"/>
      <c r="V25" s="35">
        <v>435.15</v>
      </c>
      <c r="W25" s="36">
        <f t="shared" si="9"/>
        <v>-0.169608610194073</v>
      </c>
      <c r="X25" s="35">
        <v>403.19</v>
      </c>
      <c r="Y25" s="36">
        <f t="shared" si="10"/>
        <v>-0.171481999013645</v>
      </c>
      <c r="Z25" s="35">
        <v>402.43</v>
      </c>
      <c r="AA25" s="36">
        <f t="shared" si="11"/>
        <v>-0.196682369849888</v>
      </c>
      <c r="AB25" s="35">
        <v>387.54</v>
      </c>
      <c r="AC25" s="36">
        <f t="shared" si="12"/>
        <v>-0.171993846679771</v>
      </c>
      <c r="AD25" s="35">
        <v>398.55</v>
      </c>
      <c r="AE25" s="36">
        <f t="shared" si="13"/>
        <v>-0.12132369152079</v>
      </c>
      <c r="AF25" s="35">
        <v>387.72</v>
      </c>
      <c r="AG25" s="36">
        <f t="shared" si="14"/>
        <v>-0.093836913081076</v>
      </c>
      <c r="AH25" s="35">
        <v>380.58</v>
      </c>
      <c r="AI25" s="36">
        <f t="shared" si="15"/>
        <v>-0.108064402727976</v>
      </c>
      <c r="AJ25" s="35">
        <v>383.42</v>
      </c>
      <c r="AK25" s="36">
        <f t="shared" si="16"/>
        <v>-0.0938053933965163</v>
      </c>
      <c r="AL25" s="35">
        <v>375.98</v>
      </c>
      <c r="AM25" s="36">
        <f t="shared" si="17"/>
        <v>-0.091572436455011</v>
      </c>
      <c r="AN25" s="35">
        <v>386.78</v>
      </c>
      <c r="AO25" s="36">
        <f t="shared" si="18"/>
        <v>-0.0724922663725091</v>
      </c>
      <c r="AP25" s="35">
        <v>376.88</v>
      </c>
      <c r="AQ25" s="36">
        <f t="shared" si="19"/>
        <v>-0.0597744736054285</v>
      </c>
      <c r="AR25" s="35">
        <v>385.97</v>
      </c>
      <c r="AS25" s="36">
        <f t="shared" si="20"/>
        <v>-0.045762460443038</v>
      </c>
      <c r="AT25" s="35">
        <f t="shared" si="21"/>
        <v>4704.19</v>
      </c>
      <c r="AU25" s="36">
        <f t="shared" si="22"/>
        <v>-0.120240203623252</v>
      </c>
      <c r="AV25" s="194"/>
      <c r="AW25" s="38">
        <v>524.03</v>
      </c>
      <c r="AX25" s="37">
        <f>AW25/BX25-1</f>
        <v>0.612945920157592</v>
      </c>
      <c r="AY25" s="38">
        <v>486.64</v>
      </c>
      <c r="AZ25" s="37">
        <f>AY25/BY25-1</f>
        <v>0.324334621455397</v>
      </c>
      <c r="BA25" s="38">
        <v>500.96</v>
      </c>
      <c r="BB25" s="37">
        <f>BA25/BZ25-1</f>
        <v>0.0806333318952499</v>
      </c>
      <c r="BC25" s="38">
        <v>468.04</v>
      </c>
      <c r="BD25" s="37">
        <f>BC25/CA25-1</f>
        <v>-0.046295541608933</v>
      </c>
      <c r="BE25" s="200">
        <v>453.58</v>
      </c>
      <c r="BF25" s="37">
        <f>BE25/CB25-1</f>
        <v>-0.0910038277320188</v>
      </c>
      <c r="BG25" s="200">
        <v>427.87</v>
      </c>
      <c r="BH25" s="37">
        <f>BG25/CC25-1</f>
        <v>-0.0797900939845582</v>
      </c>
      <c r="BI25" s="200">
        <v>426.69</v>
      </c>
      <c r="BJ25" s="37">
        <f>BI25/CD25-1</f>
        <v>-0.124684595975137</v>
      </c>
      <c r="BK25" s="200">
        <v>423.11</v>
      </c>
      <c r="BL25" s="37">
        <f>BK25/CE25-1</f>
        <v>-0.150637358225434</v>
      </c>
      <c r="BM25" s="200">
        <v>413.88</v>
      </c>
      <c r="BN25" s="37">
        <f>BM25/CF25-1</f>
        <v>-0.157873318819053</v>
      </c>
      <c r="BO25" s="200">
        <v>417.01</v>
      </c>
      <c r="BP25" s="37">
        <f>BO25/CG25-1</f>
        <v>-0.186591764682934</v>
      </c>
      <c r="BQ25" s="200">
        <v>400.84</v>
      </c>
      <c r="BR25" s="37">
        <f>BQ25/CH25-1</f>
        <v>-0.174325910972872</v>
      </c>
      <c r="BS25" s="200">
        <v>404.48</v>
      </c>
      <c r="BT25" s="37">
        <f>BS25/CI25-1</f>
        <v>-0.209783925292072</v>
      </c>
      <c r="BU25" s="38">
        <f t="shared" si="23"/>
        <v>5347.13</v>
      </c>
      <c r="BV25" s="37">
        <f>BU25/CJ25-1</f>
        <v>-0.0447698535480389</v>
      </c>
      <c r="BW25" s="39"/>
      <c r="BX25" s="197">
        <v>324.89</v>
      </c>
      <c r="BY25" s="197">
        <v>367.46</v>
      </c>
      <c r="BZ25" s="197">
        <v>463.58</v>
      </c>
      <c r="CA25" s="197">
        <v>490.76</v>
      </c>
      <c r="CB25" s="197">
        <v>498.99</v>
      </c>
      <c r="CC25" s="197">
        <v>464.97</v>
      </c>
      <c r="CD25" s="197">
        <v>487.47</v>
      </c>
      <c r="CE25" s="197">
        <v>498.15</v>
      </c>
      <c r="CF25" s="197">
        <v>491.47</v>
      </c>
      <c r="CG25" s="197">
        <v>512.67</v>
      </c>
      <c r="CH25" s="197">
        <v>485.47</v>
      </c>
      <c r="CI25" s="197">
        <v>511.86</v>
      </c>
      <c r="CJ25" s="38">
        <f>BX25+BY25+BZ25+CA25+CB25+CC25+CD25+CE25+CF25+CG25+CH25+CI25</f>
        <v>5597.74</v>
      </c>
    </row>
    <row r="26" ht="27" customHeight="1" spans="1:88">
      <c r="A26" s="45"/>
      <c r="B26" s="193" t="s">
        <v>279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175"/>
      <c r="R26" s="127"/>
      <c r="S26" s="35">
        <f t="shared" si="7"/>
        <v>15243.46</v>
      </c>
      <c r="T26" s="132">
        <f t="shared" si="8"/>
        <v>-0.171730245305635</v>
      </c>
      <c r="U26" s="35"/>
      <c r="V26" s="35">
        <v>2519.52</v>
      </c>
      <c r="W26" s="36">
        <f t="shared" si="9"/>
        <v>-0.169607103189382</v>
      </c>
      <c r="X26" s="35">
        <v>2334.47</v>
      </c>
      <c r="Y26" s="36">
        <f t="shared" si="10"/>
        <v>-0.171483328305503</v>
      </c>
      <c r="Z26" s="35">
        <v>2330.07</v>
      </c>
      <c r="AA26" s="36">
        <f t="shared" si="11"/>
        <v>-0.196682709545743</v>
      </c>
      <c r="AB26" s="35">
        <v>2243.86</v>
      </c>
      <c r="AC26" s="36">
        <f t="shared" si="12"/>
        <v>-0.171992103175335</v>
      </c>
      <c r="AD26" s="35">
        <v>2307.6</v>
      </c>
      <c r="AE26" s="36">
        <f t="shared" si="13"/>
        <v>-0.121326007242321</v>
      </c>
      <c r="AF26" s="35">
        <v>2244.9</v>
      </c>
      <c r="AG26" s="36">
        <f t="shared" si="14"/>
        <v>-0.0938374162922776</v>
      </c>
      <c r="AH26" s="35">
        <v>2203.56</v>
      </c>
      <c r="AI26" s="36">
        <f t="shared" si="15"/>
        <v>-0.108065443182462</v>
      </c>
      <c r="AJ26" s="35">
        <v>2220</v>
      </c>
      <c r="AK26" s="36">
        <f t="shared" si="16"/>
        <v>-0.0938072748498863</v>
      </c>
      <c r="AL26" s="35">
        <v>2203.24</v>
      </c>
      <c r="AM26" s="36">
        <f t="shared" si="17"/>
        <v>-0.0805927298372122</v>
      </c>
      <c r="AN26" s="35">
        <v>2262.66</v>
      </c>
      <c r="AO26" s="36">
        <f t="shared" si="18"/>
        <v>-0.0628828448243728</v>
      </c>
      <c r="AP26" s="35">
        <v>2216.05</v>
      </c>
      <c r="AQ26" s="36">
        <f t="shared" si="19"/>
        <v>-0.0451599837991089</v>
      </c>
      <c r="AR26" s="35">
        <v>2277.22</v>
      </c>
      <c r="AS26" s="36">
        <f t="shared" si="20"/>
        <v>-0.0276352084169535</v>
      </c>
      <c r="AT26" s="35">
        <f t="shared" si="21"/>
        <v>27363.15</v>
      </c>
      <c r="AU26" s="36">
        <f t="shared" si="22"/>
        <v>-0.116174470847774</v>
      </c>
      <c r="AV26" s="196"/>
      <c r="AW26" s="35">
        <v>3034.13</v>
      </c>
      <c r="AX26" s="36"/>
      <c r="AY26" s="35">
        <v>2817.65</v>
      </c>
      <c r="AZ26" s="36"/>
      <c r="BA26" s="35">
        <v>2900.56</v>
      </c>
      <c r="BB26" s="36"/>
      <c r="BC26" s="35">
        <v>2709.95</v>
      </c>
      <c r="BD26" s="36"/>
      <c r="BE26" s="199">
        <v>2626.23</v>
      </c>
      <c r="BF26" s="36"/>
      <c r="BG26" s="199">
        <v>2477.37</v>
      </c>
      <c r="BH26" s="36"/>
      <c r="BI26" s="199">
        <v>2470.54</v>
      </c>
      <c r="BJ26" s="36"/>
      <c r="BK26" s="199">
        <v>2449.81</v>
      </c>
      <c r="BL26" s="36"/>
      <c r="BM26" s="199">
        <v>2396.37</v>
      </c>
      <c r="BN26" s="36"/>
      <c r="BO26" s="199">
        <v>2414.49</v>
      </c>
      <c r="BP26" s="37"/>
      <c r="BQ26" s="199">
        <v>2320.86</v>
      </c>
      <c r="BR26" s="37"/>
      <c r="BS26" s="199">
        <v>2341.94</v>
      </c>
      <c r="BT26" s="37"/>
      <c r="BU26" s="35">
        <f t="shared" si="23"/>
        <v>30959.9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4"/>
    </row>
    <row r="27" ht="27" customHeight="1" spans="1:88">
      <c r="A27" s="45"/>
      <c r="B27" s="193" t="s">
        <v>280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175"/>
      <c r="R27" s="127"/>
      <c r="S27" s="35">
        <f t="shared" si="7"/>
        <v>2277.24</v>
      </c>
      <c r="T27" s="132">
        <f t="shared" si="8"/>
        <v>-0.165980574559412</v>
      </c>
      <c r="U27" s="35"/>
      <c r="V27" s="35">
        <v>379.64</v>
      </c>
      <c r="W27" s="36">
        <f t="shared" si="9"/>
        <v>-0.187588273057993</v>
      </c>
      <c r="X27" s="35">
        <v>347.91</v>
      </c>
      <c r="Y27" s="36">
        <f t="shared" si="10"/>
        <v>-0.187145160159809</v>
      </c>
      <c r="Z27" s="35">
        <v>345.71</v>
      </c>
      <c r="AA27" s="36">
        <f t="shared" si="11"/>
        <v>-0.226443803002842</v>
      </c>
      <c r="AB27" s="35">
        <v>333.54</v>
      </c>
      <c r="AC27" s="36">
        <f t="shared" si="12"/>
        <v>-0.195280833815866</v>
      </c>
      <c r="AD27" s="35">
        <v>340.48</v>
      </c>
      <c r="AE27" s="36">
        <f t="shared" si="13"/>
        <v>-0.151134380453752</v>
      </c>
      <c r="AF27" s="35">
        <v>329.96</v>
      </c>
      <c r="AG27" s="36">
        <f t="shared" si="14"/>
        <v>-0.11207986867953</v>
      </c>
      <c r="AH27" s="35">
        <v>324.01</v>
      </c>
      <c r="AI27" s="36">
        <f t="shared" si="15"/>
        <v>-0.119992395230723</v>
      </c>
      <c r="AJ27" s="35">
        <v>329.19</v>
      </c>
      <c r="AK27" s="36">
        <f t="shared" si="16"/>
        <v>-0.100426299393343</v>
      </c>
      <c r="AL27" s="35">
        <v>322.4</v>
      </c>
      <c r="AM27" s="36">
        <f t="shared" si="17"/>
        <v>-0.101699637782112</v>
      </c>
      <c r="AN27" s="35">
        <v>332.44</v>
      </c>
      <c r="AO27" s="36">
        <f t="shared" si="18"/>
        <v>-0.0789349735405758</v>
      </c>
      <c r="AP27" s="35">
        <v>323.26</v>
      </c>
      <c r="AQ27" s="36">
        <f t="shared" si="19"/>
        <v>-0.0705845145337972</v>
      </c>
      <c r="AR27" s="35">
        <v>331.67</v>
      </c>
      <c r="AS27" s="36">
        <f t="shared" si="20"/>
        <v>-0.0574611384239392</v>
      </c>
      <c r="AT27" s="35">
        <f t="shared" si="21"/>
        <v>4040.21</v>
      </c>
      <c r="AU27" s="36">
        <f t="shared" si="22"/>
        <v>-0.13727319899126</v>
      </c>
      <c r="AV27" s="196"/>
      <c r="AW27" s="35">
        <v>467.3</v>
      </c>
      <c r="AX27" s="36"/>
      <c r="AY27" s="35">
        <v>428.01</v>
      </c>
      <c r="AZ27" s="36"/>
      <c r="BA27" s="35">
        <v>446.91</v>
      </c>
      <c r="BB27" s="36"/>
      <c r="BC27" s="35">
        <v>414.48</v>
      </c>
      <c r="BD27" s="36"/>
      <c r="BE27" s="199">
        <v>401.1</v>
      </c>
      <c r="BF27" s="36"/>
      <c r="BG27" s="199">
        <v>371.61</v>
      </c>
      <c r="BH27" s="36"/>
      <c r="BI27" s="199">
        <v>368.19</v>
      </c>
      <c r="BJ27" s="36"/>
      <c r="BK27" s="199">
        <v>365.94</v>
      </c>
      <c r="BL27" s="36"/>
      <c r="BM27" s="199">
        <v>358.9</v>
      </c>
      <c r="BN27" s="36"/>
      <c r="BO27" s="199">
        <v>360.93</v>
      </c>
      <c r="BP27" s="37"/>
      <c r="BQ27" s="199">
        <v>347.81</v>
      </c>
      <c r="BR27" s="37"/>
      <c r="BS27" s="199">
        <v>351.89</v>
      </c>
      <c r="BT27" s="37"/>
      <c r="BU27" s="35">
        <f t="shared" si="23"/>
        <v>4683.07</v>
      </c>
      <c r="BV27" s="36"/>
      <c r="BW27" s="40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4"/>
    </row>
    <row r="28" ht="27" customHeight="1" spans="1:88">
      <c r="A28" s="29"/>
      <c r="B28" s="193" t="s">
        <v>276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175"/>
      <c r="R28" s="127"/>
      <c r="S28" s="35">
        <f t="shared" si="7"/>
        <v>11614.11</v>
      </c>
      <c r="T28" s="132">
        <f t="shared" si="8"/>
        <v>-0.170843584057845</v>
      </c>
      <c r="U28" s="35"/>
      <c r="V28" s="35">
        <v>1947.55</v>
      </c>
      <c r="W28" s="36">
        <f t="shared" si="9"/>
        <v>-0.187589946814058</v>
      </c>
      <c r="X28" s="35">
        <v>1784.78</v>
      </c>
      <c r="Y28" s="36">
        <f t="shared" si="10"/>
        <v>-0.187143904649564</v>
      </c>
      <c r="Z28" s="35">
        <v>1773.49</v>
      </c>
      <c r="AA28" s="36">
        <f t="shared" si="11"/>
        <v>-0.226445379800667</v>
      </c>
      <c r="AB28" s="35">
        <v>1711.06</v>
      </c>
      <c r="AC28" s="36">
        <f t="shared" si="12"/>
        <v>-0.195280019564686</v>
      </c>
      <c r="AD28" s="35">
        <v>1746.66</v>
      </c>
      <c r="AE28" s="36">
        <f t="shared" si="13"/>
        <v>-0.151134309208608</v>
      </c>
      <c r="AF28" s="35">
        <v>1692.69</v>
      </c>
      <c r="AG28" s="36">
        <f t="shared" si="14"/>
        <v>-0.112082712604125</v>
      </c>
      <c r="AH28" s="35">
        <v>1662.17</v>
      </c>
      <c r="AI28" s="36">
        <f t="shared" si="15"/>
        <v>-0.119990893737327</v>
      </c>
      <c r="AJ28" s="35">
        <v>1688.74</v>
      </c>
      <c r="AK28" s="36">
        <f t="shared" si="16"/>
        <v>-0.100427748805446</v>
      </c>
      <c r="AL28" s="35">
        <v>1670.03</v>
      </c>
      <c r="AM28" s="36">
        <f t="shared" si="17"/>
        <v>-0.0929468378630863</v>
      </c>
      <c r="AN28" s="35">
        <v>1722.04</v>
      </c>
      <c r="AO28" s="36">
        <f t="shared" si="18"/>
        <v>-0.0699568474321791</v>
      </c>
      <c r="AP28" s="35">
        <v>1684.18</v>
      </c>
      <c r="AQ28" s="36">
        <f t="shared" si="19"/>
        <v>-0.0560957702589854</v>
      </c>
      <c r="AR28" s="35">
        <v>1731.32</v>
      </c>
      <c r="AS28" s="36">
        <f t="shared" si="20"/>
        <v>-0.0409262131619765</v>
      </c>
      <c r="AT28" s="35">
        <f t="shared" si="21"/>
        <v>20814.71</v>
      </c>
      <c r="AU28" s="36">
        <f t="shared" si="22"/>
        <v>-0.133592239475694</v>
      </c>
      <c r="AV28" s="196"/>
      <c r="AW28" s="35">
        <v>2397.25</v>
      </c>
      <c r="AX28" s="36"/>
      <c r="AY28" s="35">
        <v>2195.69</v>
      </c>
      <c r="AZ28" s="36"/>
      <c r="BA28" s="35">
        <v>2292.65</v>
      </c>
      <c r="BB28" s="36"/>
      <c r="BC28" s="35">
        <v>2126.28</v>
      </c>
      <c r="BD28" s="36"/>
      <c r="BE28" s="199">
        <v>2057.64</v>
      </c>
      <c r="BF28" s="36"/>
      <c r="BG28" s="199">
        <v>1906.36</v>
      </c>
      <c r="BH28" s="36"/>
      <c r="BI28" s="199">
        <v>1888.81</v>
      </c>
      <c r="BJ28" s="36"/>
      <c r="BK28" s="199">
        <v>1877.27</v>
      </c>
      <c r="BL28" s="36"/>
      <c r="BM28" s="199">
        <v>1841.16</v>
      </c>
      <c r="BN28" s="36"/>
      <c r="BO28" s="199">
        <v>1851.57</v>
      </c>
      <c r="BP28" s="37"/>
      <c r="BQ28" s="199">
        <v>1784.27</v>
      </c>
      <c r="BR28" s="37"/>
      <c r="BS28" s="199">
        <v>1805.2</v>
      </c>
      <c r="BT28" s="37"/>
      <c r="BU28" s="35">
        <f t="shared" si="23"/>
        <v>24024.15</v>
      </c>
      <c r="BV28" s="36"/>
      <c r="BW28" s="40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4"/>
    </row>
    <row r="29" s="171" customFormat="1" ht="27" customHeight="1" spans="1:88">
      <c r="A29" s="48" t="s">
        <v>98</v>
      </c>
      <c r="B29" s="193" t="s">
        <v>278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175"/>
      <c r="R29" s="127"/>
      <c r="S29" s="131">
        <f t="shared" si="7"/>
        <v>368.11</v>
      </c>
      <c r="T29" s="132">
        <f t="shared" si="8"/>
        <v>-0.542618225193211</v>
      </c>
      <c r="U29" s="35"/>
      <c r="V29" s="35">
        <v>103.72</v>
      </c>
      <c r="W29" s="36">
        <f t="shared" si="9"/>
        <v>0.0198623402163225</v>
      </c>
      <c r="X29" s="35">
        <v>93.65</v>
      </c>
      <c r="Y29" s="36">
        <f t="shared" si="10"/>
        <v>-0.0414534288638689</v>
      </c>
      <c r="Z29" s="35">
        <v>98.77</v>
      </c>
      <c r="AA29" s="36">
        <f t="shared" si="11"/>
        <v>0.0182474226804124</v>
      </c>
      <c r="AB29" s="35">
        <v>95.57</v>
      </c>
      <c r="AC29" s="36">
        <f t="shared" si="12"/>
        <v>-0.0264846694509525</v>
      </c>
      <c r="AD29" s="35">
        <v>98.97</v>
      </c>
      <c r="AE29" s="36">
        <f t="shared" si="13"/>
        <v>-0.0290395369371138</v>
      </c>
      <c r="AF29" s="35">
        <v>95.27</v>
      </c>
      <c r="AG29" s="36">
        <f t="shared" si="14"/>
        <v>-0.00656934306569357</v>
      </c>
      <c r="AH29" s="35">
        <v>109.8</v>
      </c>
      <c r="AI29" s="36">
        <f t="shared" si="15"/>
        <v>0.172701057353412</v>
      </c>
      <c r="AJ29" s="35">
        <v>109.07</v>
      </c>
      <c r="AK29" s="36">
        <f t="shared" si="16"/>
        <v>0.162669225029314</v>
      </c>
      <c r="AL29" s="35">
        <v>109.5</v>
      </c>
      <c r="AM29" s="36">
        <f t="shared" si="17"/>
        <v>0.14731768650461</v>
      </c>
      <c r="AN29" s="35">
        <v>110.02</v>
      </c>
      <c r="AO29" s="36">
        <f t="shared" si="18"/>
        <v>0.124718871396442</v>
      </c>
      <c r="AP29" s="35">
        <v>104.87</v>
      </c>
      <c r="AQ29" s="36">
        <f t="shared" si="19"/>
        <v>0.121004810261892</v>
      </c>
      <c r="AR29" s="35">
        <v>108.34</v>
      </c>
      <c r="AS29" s="36">
        <f t="shared" si="20"/>
        <v>0.0991173785127322</v>
      </c>
      <c r="AT29" s="35">
        <f t="shared" si="21"/>
        <v>1237.55</v>
      </c>
      <c r="AU29" s="36">
        <f t="shared" si="22"/>
        <v>0.0620741147594448</v>
      </c>
      <c r="AV29" s="194"/>
      <c r="AW29" s="38">
        <v>101.7</v>
      </c>
      <c r="AX29" s="37">
        <f>AW29/BX29-1</f>
        <v>0.0495356037151702</v>
      </c>
      <c r="AY29" s="38">
        <v>97.7</v>
      </c>
      <c r="AZ29" s="37">
        <f>AY29/BY29-1</f>
        <v>0.120541346484689</v>
      </c>
      <c r="BA29" s="38">
        <v>97</v>
      </c>
      <c r="BB29" s="37">
        <f>BA29/BZ29-1</f>
        <v>-0.0412177522981121</v>
      </c>
      <c r="BC29" s="38">
        <v>98.17</v>
      </c>
      <c r="BD29" s="37">
        <f>BC29/CA29-1</f>
        <v>0.00214373213556551</v>
      </c>
      <c r="BE29" s="200">
        <v>101.93</v>
      </c>
      <c r="BF29" s="37">
        <f>BE29/CB29-1</f>
        <v>-0.0151690821256037</v>
      </c>
      <c r="BG29" s="200">
        <v>95.9</v>
      </c>
      <c r="BH29" s="37">
        <f>BG29/CC29-1</f>
        <v>-0.133224873463485</v>
      </c>
      <c r="BI29" s="200">
        <v>93.63</v>
      </c>
      <c r="BJ29" s="37">
        <f>BI29/CD29-1</f>
        <v>-0.0323480777180654</v>
      </c>
      <c r="BK29" s="200">
        <v>93.81</v>
      </c>
      <c r="BL29" s="37">
        <f>BK29/CE29-1</f>
        <v>-0.0421686746987951</v>
      </c>
      <c r="BM29" s="200">
        <v>95.44</v>
      </c>
      <c r="BN29" s="37">
        <f>BM29/CF29-1</f>
        <v>-0.00490042748409969</v>
      </c>
      <c r="BO29" s="200">
        <v>97.82</v>
      </c>
      <c r="BP29" s="37">
        <f>BO29/CG29-1</f>
        <v>-0.033781114184117</v>
      </c>
      <c r="BQ29" s="200">
        <v>93.55</v>
      </c>
      <c r="BR29" s="37">
        <f>BQ29/CH29-1</f>
        <v>-0.00170739515526619</v>
      </c>
      <c r="BS29" s="200">
        <v>98.57</v>
      </c>
      <c r="BT29" s="37">
        <f>BS29/CI29-1</f>
        <v>-0.00765126346521705</v>
      </c>
      <c r="BU29" s="38">
        <f t="shared" si="23"/>
        <v>1165.22</v>
      </c>
      <c r="BV29" s="37">
        <f>BU29/CJ29-1</f>
        <v>-0.0144047367308099</v>
      </c>
      <c r="BW29" s="39"/>
      <c r="BX29" s="197">
        <v>96.9</v>
      </c>
      <c r="BY29" s="197">
        <v>87.19</v>
      </c>
      <c r="BZ29" s="197">
        <v>101.17</v>
      </c>
      <c r="CA29" s="197">
        <v>97.96</v>
      </c>
      <c r="CB29" s="197">
        <v>103.5</v>
      </c>
      <c r="CC29" s="197">
        <v>110.64</v>
      </c>
      <c r="CD29" s="197">
        <v>96.76</v>
      </c>
      <c r="CE29" s="197">
        <v>97.94</v>
      </c>
      <c r="CF29" s="197">
        <v>95.91</v>
      </c>
      <c r="CG29" s="197">
        <v>101.24</v>
      </c>
      <c r="CH29" s="197">
        <v>93.71</v>
      </c>
      <c r="CI29" s="197">
        <v>99.33</v>
      </c>
      <c r="CJ29" s="38">
        <f>BX29+BY29+BZ29+CA29+CB29+CC29+CD29+CE29+CF29+CG29+CH29+CI29</f>
        <v>1182.25</v>
      </c>
    </row>
    <row r="30" ht="27" customHeight="1" spans="1:88">
      <c r="A30" s="45"/>
      <c r="B30" s="193" t="s">
        <v>279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175"/>
      <c r="R30" s="127"/>
      <c r="S30" s="35">
        <f t="shared" si="7"/>
        <v>1907.71</v>
      </c>
      <c r="T30" s="132">
        <f t="shared" si="8"/>
        <v>-0.617136354696412</v>
      </c>
      <c r="U30" s="35"/>
      <c r="V30" s="35">
        <v>682.48</v>
      </c>
      <c r="W30" s="36">
        <f t="shared" si="9"/>
        <v>0.0198598305414008</v>
      </c>
      <c r="X30" s="35">
        <v>616.22</v>
      </c>
      <c r="Y30" s="36">
        <f t="shared" si="10"/>
        <v>-0.0414547264610263</v>
      </c>
      <c r="Z30" s="35">
        <v>649.91</v>
      </c>
      <c r="AA30" s="36">
        <f t="shared" si="11"/>
        <v>0.0182527496631466</v>
      </c>
      <c r="AB30" s="35">
        <v>628.85</v>
      </c>
      <c r="AC30" s="36">
        <f t="shared" si="12"/>
        <v>-0.0264877082172271</v>
      </c>
      <c r="AD30" s="35">
        <v>651.22</v>
      </c>
      <c r="AE30" s="36">
        <f t="shared" si="13"/>
        <v>-0.0290442820933353</v>
      </c>
      <c r="AF30" s="35">
        <v>626.88</v>
      </c>
      <c r="AG30" s="36">
        <f t="shared" si="14"/>
        <v>-0.00656080631358746</v>
      </c>
      <c r="AH30" s="35">
        <v>565.47</v>
      </c>
      <c r="AI30" s="36">
        <f t="shared" si="15"/>
        <v>-0.0821633202941129</v>
      </c>
      <c r="AJ30" s="35">
        <v>561.71</v>
      </c>
      <c r="AK30" s="36">
        <f t="shared" si="16"/>
        <v>-0.090009234208693</v>
      </c>
      <c r="AL30" s="35">
        <v>563.93</v>
      </c>
      <c r="AM30" s="36">
        <f t="shared" si="17"/>
        <v>-0.102022292993631</v>
      </c>
      <c r="AN30" s="35">
        <v>566.6</v>
      </c>
      <c r="AO30" s="36">
        <f t="shared" si="18"/>
        <v>-0.119721592144921</v>
      </c>
      <c r="AP30" s="35">
        <v>540.08</v>
      </c>
      <c r="AQ30" s="36">
        <f t="shared" si="19"/>
        <v>-0.122620053284814</v>
      </c>
      <c r="AR30" s="35">
        <v>557.95</v>
      </c>
      <c r="AS30" s="36">
        <f t="shared" si="20"/>
        <v>-0.139749302332753</v>
      </c>
      <c r="AT30" s="35">
        <f t="shared" si="21"/>
        <v>7211.3</v>
      </c>
      <c r="AU30" s="36">
        <f t="shared" si="22"/>
        <v>-0.0594574008402053</v>
      </c>
      <c r="AV30" s="196"/>
      <c r="AW30" s="35">
        <v>669.19</v>
      </c>
      <c r="AX30" s="36"/>
      <c r="AY30" s="35">
        <v>642.87</v>
      </c>
      <c r="AZ30" s="36"/>
      <c r="BA30" s="35">
        <v>638.26</v>
      </c>
      <c r="BB30" s="36"/>
      <c r="BC30" s="35">
        <v>645.96</v>
      </c>
      <c r="BD30" s="36"/>
      <c r="BE30" s="199">
        <v>670.7</v>
      </c>
      <c r="BF30" s="36"/>
      <c r="BG30" s="199">
        <v>631.02</v>
      </c>
      <c r="BH30" s="36"/>
      <c r="BI30" s="199">
        <v>616.09</v>
      </c>
      <c r="BJ30" s="36"/>
      <c r="BK30" s="199">
        <v>617.27</v>
      </c>
      <c r="BL30" s="36"/>
      <c r="BM30" s="199">
        <v>628</v>
      </c>
      <c r="BN30" s="36"/>
      <c r="BO30" s="199">
        <v>643.66</v>
      </c>
      <c r="BP30" s="37"/>
      <c r="BQ30" s="199">
        <v>615.56</v>
      </c>
      <c r="BR30" s="37"/>
      <c r="BS30" s="199">
        <v>648.59</v>
      </c>
      <c r="BT30" s="37"/>
      <c r="BU30" s="35">
        <f t="shared" si="23"/>
        <v>7667.17</v>
      </c>
      <c r="BV30" s="36"/>
      <c r="BW30" s="40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4"/>
    </row>
    <row r="31" ht="27" customHeight="1" spans="1:88">
      <c r="A31" s="45"/>
      <c r="B31" s="193" t="s">
        <v>280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175"/>
      <c r="R31" s="127"/>
      <c r="S31" s="35">
        <f t="shared" si="7"/>
        <v>344.85</v>
      </c>
      <c r="T31" s="132">
        <f t="shared" si="8"/>
        <v>-0.563525212636695</v>
      </c>
      <c r="U31" s="35"/>
      <c r="V31" s="35">
        <v>101.85</v>
      </c>
      <c r="W31" s="36">
        <f t="shared" si="9"/>
        <v>0.0183981601839815</v>
      </c>
      <c r="X31" s="35">
        <v>92.99</v>
      </c>
      <c r="Y31" s="36">
        <f t="shared" si="10"/>
        <v>-0.0337697423108895</v>
      </c>
      <c r="Z31" s="35">
        <v>97.98</v>
      </c>
      <c r="AA31" s="36">
        <f t="shared" si="11"/>
        <v>0.025431711145997</v>
      </c>
      <c r="AB31" s="35">
        <v>94.71</v>
      </c>
      <c r="AC31" s="36">
        <f t="shared" si="12"/>
        <v>-0.0245133381398703</v>
      </c>
      <c r="AD31" s="35">
        <v>98.07</v>
      </c>
      <c r="AE31" s="36">
        <f t="shared" si="13"/>
        <v>-0.0238877276799045</v>
      </c>
      <c r="AF31" s="35">
        <v>94.41</v>
      </c>
      <c r="AG31" s="36">
        <f t="shared" si="14"/>
        <v>-0.00453395191902162</v>
      </c>
      <c r="AH31" s="35">
        <v>105.34</v>
      </c>
      <c r="AI31" s="36">
        <f t="shared" si="15"/>
        <v>0.135251643496066</v>
      </c>
      <c r="AJ31" s="35">
        <v>104.73</v>
      </c>
      <c r="AK31" s="36">
        <f t="shared" si="16"/>
        <v>0.125523911875336</v>
      </c>
      <c r="AL31" s="35">
        <v>104.82</v>
      </c>
      <c r="AM31" s="36">
        <f t="shared" si="17"/>
        <v>0.108268132797632</v>
      </c>
      <c r="AN31" s="35">
        <v>105.74</v>
      </c>
      <c r="AO31" s="36">
        <f t="shared" si="18"/>
        <v>0.0963193364437531</v>
      </c>
      <c r="AP31" s="35">
        <v>97.83</v>
      </c>
      <c r="AQ31" s="36">
        <f t="shared" si="19"/>
        <v>0.0520486073771373</v>
      </c>
      <c r="AR31" s="35">
        <v>96.45</v>
      </c>
      <c r="AS31" s="36">
        <f t="shared" si="20"/>
        <v>-0.0105662700041034</v>
      </c>
      <c r="AT31" s="35">
        <f t="shared" si="21"/>
        <v>1194.92</v>
      </c>
      <c r="AU31" s="36">
        <f t="shared" si="22"/>
        <v>0.0376712923563229</v>
      </c>
      <c r="AV31" s="196"/>
      <c r="AW31" s="35">
        <v>100.01</v>
      </c>
      <c r="AX31" s="36"/>
      <c r="AY31" s="35">
        <v>96.24</v>
      </c>
      <c r="AZ31" s="36"/>
      <c r="BA31" s="35">
        <v>95.55</v>
      </c>
      <c r="BB31" s="36"/>
      <c r="BC31" s="35">
        <v>97.09</v>
      </c>
      <c r="BD31" s="36"/>
      <c r="BE31" s="199">
        <v>100.47</v>
      </c>
      <c r="BF31" s="36"/>
      <c r="BG31" s="199">
        <v>94.84</v>
      </c>
      <c r="BH31" s="36"/>
      <c r="BI31" s="199">
        <v>92.79</v>
      </c>
      <c r="BJ31" s="36"/>
      <c r="BK31" s="199">
        <v>93.05</v>
      </c>
      <c r="BL31" s="36"/>
      <c r="BM31" s="199">
        <v>94.58</v>
      </c>
      <c r="BN31" s="36"/>
      <c r="BO31" s="199">
        <v>96.45</v>
      </c>
      <c r="BP31" s="37"/>
      <c r="BQ31" s="199">
        <v>92.99</v>
      </c>
      <c r="BR31" s="37"/>
      <c r="BS31" s="199">
        <v>97.48</v>
      </c>
      <c r="BT31" s="37"/>
      <c r="BU31" s="35">
        <f t="shared" si="23"/>
        <v>1151.54</v>
      </c>
      <c r="BV31" s="36"/>
      <c r="BW31" s="40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4"/>
    </row>
    <row r="32" ht="27" customHeight="1" spans="1:88">
      <c r="A32" s="29"/>
      <c r="B32" s="193" t="s">
        <v>276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175"/>
      <c r="R32" s="127"/>
      <c r="S32" s="35">
        <f t="shared" si="7"/>
        <v>1564.87</v>
      </c>
      <c r="T32" s="132">
        <f t="shared" si="8"/>
        <v>-0.568865954386912</v>
      </c>
      <c r="U32" s="35"/>
      <c r="V32" s="35">
        <v>469.53</v>
      </c>
      <c r="W32" s="36">
        <f t="shared" si="9"/>
        <v>0.0183927990456565</v>
      </c>
      <c r="X32" s="35">
        <v>428.68</v>
      </c>
      <c r="Y32" s="36">
        <f t="shared" si="10"/>
        <v>-0.0337863727545248</v>
      </c>
      <c r="Z32" s="35">
        <v>451.69</v>
      </c>
      <c r="AA32" s="36">
        <f t="shared" si="11"/>
        <v>0.0254262298803605</v>
      </c>
      <c r="AB32" s="35">
        <v>436.61</v>
      </c>
      <c r="AC32" s="36">
        <f t="shared" si="12"/>
        <v>-0.0245095848786808</v>
      </c>
      <c r="AD32" s="35">
        <v>452.1</v>
      </c>
      <c r="AE32" s="36">
        <f t="shared" si="13"/>
        <v>-0.0239005116911717</v>
      </c>
      <c r="AF32" s="35">
        <v>435.23</v>
      </c>
      <c r="AG32" s="36">
        <f t="shared" si="14"/>
        <v>-0.00452871617758044</v>
      </c>
      <c r="AH32" s="35">
        <v>479.3</v>
      </c>
      <c r="AI32" s="36">
        <f t="shared" si="15"/>
        <v>0.120488124181784</v>
      </c>
      <c r="AJ32" s="35">
        <v>476.52</v>
      </c>
      <c r="AK32" s="36">
        <f t="shared" si="16"/>
        <v>0.110872808653488</v>
      </c>
      <c r="AL32" s="35">
        <v>476.93</v>
      </c>
      <c r="AM32" s="36">
        <f t="shared" si="17"/>
        <v>0.0938510584619618</v>
      </c>
      <c r="AN32" s="35">
        <v>481.12</v>
      </c>
      <c r="AO32" s="36">
        <f t="shared" si="18"/>
        <v>0.0820682365112566</v>
      </c>
      <c r="AP32" s="35">
        <v>445.13</v>
      </c>
      <c r="AQ32" s="36">
        <f t="shared" si="19"/>
        <v>0.0383736120182887</v>
      </c>
      <c r="AR32" s="35">
        <v>438.85</v>
      </c>
      <c r="AS32" s="36">
        <f t="shared" si="20"/>
        <v>-0.0234322844808402</v>
      </c>
      <c r="AT32" s="35">
        <f t="shared" si="21"/>
        <v>5471.69</v>
      </c>
      <c r="AU32" s="36">
        <f t="shared" si="22"/>
        <v>0.0307237891794241</v>
      </c>
      <c r="AV32" s="196"/>
      <c r="AW32" s="35">
        <v>461.05</v>
      </c>
      <c r="AX32" s="36"/>
      <c r="AY32" s="35">
        <v>443.67</v>
      </c>
      <c r="AZ32" s="36"/>
      <c r="BA32" s="35">
        <v>440.49</v>
      </c>
      <c r="BB32" s="36"/>
      <c r="BC32" s="35">
        <v>447.58</v>
      </c>
      <c r="BD32" s="36"/>
      <c r="BE32" s="199">
        <v>463.17</v>
      </c>
      <c r="BF32" s="36"/>
      <c r="BG32" s="199">
        <v>437.21</v>
      </c>
      <c r="BH32" s="36"/>
      <c r="BI32" s="199">
        <v>427.76</v>
      </c>
      <c r="BJ32" s="36"/>
      <c r="BK32" s="199">
        <v>428.96</v>
      </c>
      <c r="BL32" s="36"/>
      <c r="BM32" s="199">
        <v>436.01</v>
      </c>
      <c r="BN32" s="36"/>
      <c r="BO32" s="199">
        <v>444.63</v>
      </c>
      <c r="BP32" s="37"/>
      <c r="BQ32" s="199">
        <v>428.68</v>
      </c>
      <c r="BR32" s="37"/>
      <c r="BS32" s="199">
        <v>449.38</v>
      </c>
      <c r="BT32" s="37"/>
      <c r="BU32" s="35">
        <f t="shared" si="23"/>
        <v>5308.59</v>
      </c>
      <c r="BV32" s="36"/>
      <c r="BW32" s="40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4"/>
    </row>
    <row r="33" s="171" customFormat="1" ht="27" customHeight="1" spans="1:88">
      <c r="A33" s="48" t="s">
        <v>99</v>
      </c>
      <c r="B33" s="193" t="s">
        <v>278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175"/>
      <c r="R33" s="127"/>
      <c r="S33" s="131">
        <f t="shared" si="7"/>
        <v>2104.45</v>
      </c>
      <c r="T33" s="132">
        <f t="shared" si="8"/>
        <v>-0.218756960634364</v>
      </c>
      <c r="U33" s="35"/>
      <c r="V33" s="35">
        <v>378.18</v>
      </c>
      <c r="W33" s="36">
        <f t="shared" si="9"/>
        <v>0.0448404475756321</v>
      </c>
      <c r="X33" s="35">
        <v>340.68</v>
      </c>
      <c r="Y33" s="36">
        <f t="shared" si="10"/>
        <v>0.0190846545019443</v>
      </c>
      <c r="Z33" s="35">
        <v>337.9</v>
      </c>
      <c r="AA33" s="36">
        <f t="shared" si="11"/>
        <v>-0.00681911704191418</v>
      </c>
      <c r="AB33" s="35">
        <v>327.49</v>
      </c>
      <c r="AC33" s="36">
        <f t="shared" si="12"/>
        <v>0.105264934188323</v>
      </c>
      <c r="AD33" s="35">
        <v>327.31</v>
      </c>
      <c r="AE33" s="36">
        <f t="shared" si="13"/>
        <v>0.00401840490797545</v>
      </c>
      <c r="AF33" s="35">
        <v>325.27</v>
      </c>
      <c r="AG33" s="36">
        <f t="shared" si="14"/>
        <v>-0.0331143545078922</v>
      </c>
      <c r="AH33" s="35">
        <v>326.78</v>
      </c>
      <c r="AI33" s="36">
        <f t="shared" si="15"/>
        <v>-0.0584879566670509</v>
      </c>
      <c r="AJ33" s="35">
        <v>330.11</v>
      </c>
      <c r="AK33" s="36">
        <f t="shared" si="16"/>
        <v>-0.0472740916043753</v>
      </c>
      <c r="AL33" s="35">
        <v>303.49</v>
      </c>
      <c r="AM33" s="36">
        <f t="shared" si="17"/>
        <v>-0.0857082605290113</v>
      </c>
      <c r="AN33" s="35">
        <v>335.57</v>
      </c>
      <c r="AO33" s="36">
        <f t="shared" si="18"/>
        <v>-0.0145365910959708</v>
      </c>
      <c r="AP33" s="35">
        <v>312.66</v>
      </c>
      <c r="AQ33" s="36">
        <f t="shared" si="19"/>
        <v>-0.0576001446785422</v>
      </c>
      <c r="AR33" s="35">
        <v>319.5</v>
      </c>
      <c r="AS33" s="36">
        <f t="shared" si="20"/>
        <v>-0.067262217551235</v>
      </c>
      <c r="AT33" s="35">
        <f t="shared" si="21"/>
        <v>3964.94</v>
      </c>
      <c r="AU33" s="36">
        <f t="shared" si="22"/>
        <v>-0.0174896915391325</v>
      </c>
      <c r="AV33" s="194"/>
      <c r="AW33" s="38">
        <v>361.95</v>
      </c>
      <c r="AX33" s="37">
        <f>AW33/BX33-1</f>
        <v>0.0439861551773868</v>
      </c>
      <c r="AY33" s="38">
        <v>334.3</v>
      </c>
      <c r="AZ33" s="37">
        <f>AY33/BY33-1</f>
        <v>0.0261211209674943</v>
      </c>
      <c r="BA33" s="38">
        <v>340.22</v>
      </c>
      <c r="BB33" s="37">
        <f>BA33/BZ33-1</f>
        <v>-0.0501954215522054</v>
      </c>
      <c r="BC33" s="38">
        <v>296.3</v>
      </c>
      <c r="BD33" s="37">
        <f>BC33/CA33-1</f>
        <v>-0.18119766767071</v>
      </c>
      <c r="BE33" s="200">
        <v>326</v>
      </c>
      <c r="BF33" s="37">
        <f>BE33/CB33-1</f>
        <v>-0.116770522893525</v>
      </c>
      <c r="BG33" s="200">
        <v>336.41</v>
      </c>
      <c r="BH33" s="37">
        <f>BG33/CC33-1</f>
        <v>-0.0492864207997739</v>
      </c>
      <c r="BI33" s="200">
        <v>347.08</v>
      </c>
      <c r="BJ33" s="37">
        <f>BI33/CD33-1</f>
        <v>-0.0456970030244708</v>
      </c>
      <c r="BK33" s="200">
        <v>346.49</v>
      </c>
      <c r="BL33" s="37">
        <f>BK33/CE33-1</f>
        <v>-0.0628820252069021</v>
      </c>
      <c r="BM33" s="200">
        <v>331.94</v>
      </c>
      <c r="BN33" s="37">
        <f>BM33/CF33-1</f>
        <v>-0.0456009200690052</v>
      </c>
      <c r="BO33" s="200">
        <v>340.52</v>
      </c>
      <c r="BP33" s="37">
        <f>BO33/CG33-1</f>
        <v>-0.00131976420212931</v>
      </c>
      <c r="BQ33" s="200">
        <v>331.77</v>
      </c>
      <c r="BR33" s="37">
        <f>BQ33/CH33-1</f>
        <v>-0.00949395432154054</v>
      </c>
      <c r="BS33" s="200">
        <v>342.54</v>
      </c>
      <c r="BT33" s="37">
        <f>BS33/CI33-1</f>
        <v>0.0242502167867715</v>
      </c>
      <c r="BU33" s="38">
        <f t="shared" si="23"/>
        <v>4035.52</v>
      </c>
      <c r="BV33" s="37">
        <f>BU33/CJ33-1</f>
        <v>-0.0407834375222839</v>
      </c>
      <c r="BW33" s="39"/>
      <c r="BX33" s="197">
        <v>346.7</v>
      </c>
      <c r="BY33" s="197">
        <v>325.79</v>
      </c>
      <c r="BZ33" s="197">
        <v>358.2</v>
      </c>
      <c r="CA33" s="197">
        <v>361.87</v>
      </c>
      <c r="CB33" s="197">
        <v>369.1</v>
      </c>
      <c r="CC33" s="197">
        <v>353.85</v>
      </c>
      <c r="CD33" s="197">
        <v>363.7</v>
      </c>
      <c r="CE33" s="197">
        <v>369.74</v>
      </c>
      <c r="CF33" s="197">
        <v>347.8</v>
      </c>
      <c r="CG33" s="197">
        <v>340.97</v>
      </c>
      <c r="CH33" s="197">
        <v>334.95</v>
      </c>
      <c r="CI33" s="197">
        <v>334.43</v>
      </c>
      <c r="CJ33" s="38">
        <f>BX33+BY33+BZ33+CA33+CB33+CC33+CD33+CE33+CF33+CG33+CH33+CI33</f>
        <v>4207.1</v>
      </c>
    </row>
    <row r="34" ht="27" customHeight="1" spans="1:88">
      <c r="A34" s="45"/>
      <c r="B34" s="193" t="s">
        <v>279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175"/>
      <c r="R34" s="127"/>
      <c r="S34" s="35">
        <f t="shared" si="7"/>
        <v>9470.05</v>
      </c>
      <c r="T34" s="132">
        <f t="shared" si="8"/>
        <v>-0.218756187220338</v>
      </c>
      <c r="U34" s="35"/>
      <c r="V34" s="35">
        <v>1701.81</v>
      </c>
      <c r="W34" s="36">
        <f t="shared" si="9"/>
        <v>0.0448372401429291</v>
      </c>
      <c r="X34" s="35">
        <v>1533.06</v>
      </c>
      <c r="Y34" s="36">
        <f t="shared" si="10"/>
        <v>0.0190846545019443</v>
      </c>
      <c r="Z34" s="35">
        <v>1520.55</v>
      </c>
      <c r="AA34" s="36">
        <f t="shared" si="11"/>
        <v>-0.00681911704191407</v>
      </c>
      <c r="AB34" s="35">
        <v>1473.71</v>
      </c>
      <c r="AC34" s="36">
        <f t="shared" si="12"/>
        <v>0.105268684141448</v>
      </c>
      <c r="AD34" s="35">
        <v>1472.9</v>
      </c>
      <c r="AE34" s="36">
        <f t="shared" si="13"/>
        <v>0.00402181322426731</v>
      </c>
      <c r="AF34" s="35">
        <v>1463.72</v>
      </c>
      <c r="AG34" s="36">
        <f t="shared" si="14"/>
        <v>-0.0331142451365722</v>
      </c>
      <c r="AH34" s="35">
        <v>1470.51</v>
      </c>
      <c r="AI34" s="36">
        <f t="shared" si="15"/>
        <v>-0.0584879566670508</v>
      </c>
      <c r="AJ34" s="35">
        <v>1485.5</v>
      </c>
      <c r="AK34" s="36">
        <f t="shared" si="16"/>
        <v>-0.0472739400080811</v>
      </c>
      <c r="AL34" s="35">
        <v>1365.71</v>
      </c>
      <c r="AM34" s="36">
        <f t="shared" si="17"/>
        <v>-0.0857049132038588</v>
      </c>
      <c r="AN34" s="35">
        <v>1510.07</v>
      </c>
      <c r="AO34" s="36">
        <f t="shared" si="18"/>
        <v>-0.0145333281125599</v>
      </c>
      <c r="AP34" s="35">
        <v>1406.97</v>
      </c>
      <c r="AQ34" s="36">
        <f t="shared" si="19"/>
        <v>-0.0576033008030972</v>
      </c>
      <c r="AR34" s="35">
        <v>1437.75</v>
      </c>
      <c r="AS34" s="36">
        <f t="shared" si="20"/>
        <v>-0.067262217551235</v>
      </c>
      <c r="AT34" s="35">
        <f t="shared" si="21"/>
        <v>17842.26</v>
      </c>
      <c r="AU34" s="36">
        <f t="shared" si="22"/>
        <v>-0.017489121612171</v>
      </c>
      <c r="AV34" s="196"/>
      <c r="AW34" s="35">
        <v>1628.78</v>
      </c>
      <c r="AX34" s="36"/>
      <c r="AY34" s="35">
        <v>1504.35</v>
      </c>
      <c r="AZ34" s="36"/>
      <c r="BA34" s="35">
        <v>1530.99</v>
      </c>
      <c r="BB34" s="36"/>
      <c r="BC34" s="35">
        <v>1333.35</v>
      </c>
      <c r="BD34" s="36"/>
      <c r="BE34" s="199">
        <v>1467</v>
      </c>
      <c r="BF34" s="36"/>
      <c r="BG34" s="199">
        <v>1513.85</v>
      </c>
      <c r="BH34" s="36"/>
      <c r="BI34" s="199">
        <v>1561.86</v>
      </c>
      <c r="BJ34" s="36"/>
      <c r="BK34" s="199">
        <v>1559.21</v>
      </c>
      <c r="BL34" s="36"/>
      <c r="BM34" s="199">
        <v>1493.73</v>
      </c>
      <c r="BN34" s="36"/>
      <c r="BO34" s="199">
        <v>1532.34</v>
      </c>
      <c r="BP34" s="37"/>
      <c r="BQ34" s="199">
        <v>1492.97</v>
      </c>
      <c r="BR34" s="37"/>
      <c r="BS34" s="199">
        <v>1541.43</v>
      </c>
      <c r="BT34" s="37"/>
      <c r="BU34" s="35">
        <f t="shared" si="23"/>
        <v>18159.86</v>
      </c>
      <c r="BV34" s="36"/>
      <c r="BW34" s="40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4"/>
    </row>
    <row r="35" ht="27" customHeight="1" spans="1:88">
      <c r="A35" s="45"/>
      <c r="B35" s="193" t="s">
        <v>280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175"/>
      <c r="R35" s="127"/>
      <c r="S35" s="35">
        <f t="shared" si="7"/>
        <v>1908.06</v>
      </c>
      <c r="T35" s="132">
        <f t="shared" si="8"/>
        <v>-0.227762443237468</v>
      </c>
      <c r="U35" s="35"/>
      <c r="V35" s="35">
        <v>344.22</v>
      </c>
      <c r="W35" s="36">
        <f t="shared" si="9"/>
        <v>0.0190656640416842</v>
      </c>
      <c r="X35" s="35">
        <v>312.09</v>
      </c>
      <c r="Y35" s="36">
        <f t="shared" si="10"/>
        <v>0.00729432269308972</v>
      </c>
      <c r="Z35" s="35">
        <v>308.49</v>
      </c>
      <c r="AA35" s="36">
        <f t="shared" si="11"/>
        <v>-0.00902666238355287</v>
      </c>
      <c r="AB35" s="35">
        <v>299.89</v>
      </c>
      <c r="AC35" s="36">
        <f t="shared" si="12"/>
        <v>0.0883324260569769</v>
      </c>
      <c r="AD35" s="35">
        <v>301.6</v>
      </c>
      <c r="AE35" s="36">
        <f t="shared" si="13"/>
        <v>-0.00841662283008948</v>
      </c>
      <c r="AF35" s="35">
        <v>302.42</v>
      </c>
      <c r="AG35" s="36">
        <f t="shared" si="14"/>
        <v>-0.0231912144702843</v>
      </c>
      <c r="AH35" s="35">
        <v>300.28</v>
      </c>
      <c r="AI35" s="36">
        <f t="shared" si="15"/>
        <v>-0.0566428952907544</v>
      </c>
      <c r="AJ35" s="35">
        <v>301.83</v>
      </c>
      <c r="AK35" s="36">
        <f t="shared" si="16"/>
        <v>-0.059895346664175</v>
      </c>
      <c r="AL35" s="35">
        <v>277.88</v>
      </c>
      <c r="AM35" s="36">
        <f t="shared" si="17"/>
        <v>-0.0915094648053095</v>
      </c>
      <c r="AN35" s="35">
        <v>307.06</v>
      </c>
      <c r="AO35" s="36">
        <f t="shared" si="18"/>
        <v>-0.016526808019986</v>
      </c>
      <c r="AP35" s="35">
        <v>285.35</v>
      </c>
      <c r="AQ35" s="36">
        <f t="shared" si="19"/>
        <v>-0.0685186394202518</v>
      </c>
      <c r="AR35" s="35">
        <v>289</v>
      </c>
      <c r="AS35" s="36">
        <f t="shared" si="20"/>
        <v>-0.0787963789366315</v>
      </c>
      <c r="AT35" s="35">
        <f t="shared" si="21"/>
        <v>3630.11</v>
      </c>
      <c r="AU35" s="36">
        <f t="shared" si="22"/>
        <v>-0.0256673841975017</v>
      </c>
      <c r="AV35" s="196"/>
      <c r="AW35" s="35">
        <v>337.78</v>
      </c>
      <c r="AX35" s="36"/>
      <c r="AY35" s="35">
        <v>309.83</v>
      </c>
      <c r="AZ35" s="36"/>
      <c r="BA35" s="35">
        <v>311.3</v>
      </c>
      <c r="BB35" s="36"/>
      <c r="BC35" s="35">
        <v>275.55</v>
      </c>
      <c r="BD35" s="36"/>
      <c r="BE35" s="199">
        <v>304.16</v>
      </c>
      <c r="BF35" s="36"/>
      <c r="BG35" s="199">
        <v>309.6</v>
      </c>
      <c r="BH35" s="36"/>
      <c r="BI35" s="199">
        <v>318.31</v>
      </c>
      <c r="BJ35" s="36"/>
      <c r="BK35" s="199">
        <v>321.06</v>
      </c>
      <c r="BL35" s="36"/>
      <c r="BM35" s="199">
        <v>305.87</v>
      </c>
      <c r="BN35" s="36"/>
      <c r="BO35" s="199">
        <v>312.22</v>
      </c>
      <c r="BP35" s="37"/>
      <c r="BQ35" s="199">
        <v>306.34</v>
      </c>
      <c r="BR35" s="37"/>
      <c r="BS35" s="199">
        <v>313.72</v>
      </c>
      <c r="BT35" s="37"/>
      <c r="BU35" s="35">
        <f t="shared" si="23"/>
        <v>3725.74</v>
      </c>
      <c r="BV35" s="36"/>
      <c r="BW35" s="40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4"/>
    </row>
    <row r="36" ht="27" customHeight="1" spans="1:88">
      <c r="A36" s="29"/>
      <c r="B36" s="193" t="s">
        <v>276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175"/>
      <c r="R36" s="127"/>
      <c r="S36" s="35">
        <f t="shared" si="7"/>
        <v>7632.24</v>
      </c>
      <c r="T36" s="132">
        <f t="shared" si="8"/>
        <v>-0.227762443237468</v>
      </c>
      <c r="U36" s="35"/>
      <c r="V36" s="35">
        <v>1376.88</v>
      </c>
      <c r="W36" s="36">
        <f t="shared" si="9"/>
        <v>0.0190656640416842</v>
      </c>
      <c r="X36" s="35">
        <v>1248.36</v>
      </c>
      <c r="Y36" s="36">
        <f t="shared" si="10"/>
        <v>0.00729432269308972</v>
      </c>
      <c r="Z36" s="35">
        <v>1233.96</v>
      </c>
      <c r="AA36" s="36">
        <f t="shared" si="11"/>
        <v>-0.00902666238355287</v>
      </c>
      <c r="AB36" s="35">
        <v>1199.56</v>
      </c>
      <c r="AC36" s="36">
        <f t="shared" si="12"/>
        <v>0.0883324260569769</v>
      </c>
      <c r="AD36" s="35">
        <v>1206.4</v>
      </c>
      <c r="AE36" s="36">
        <f t="shared" si="13"/>
        <v>-0.00841662283008948</v>
      </c>
      <c r="AF36" s="35">
        <v>1209.68</v>
      </c>
      <c r="AG36" s="36">
        <f t="shared" si="14"/>
        <v>-0.0231912144702843</v>
      </c>
      <c r="AH36" s="35">
        <v>1201.12</v>
      </c>
      <c r="AI36" s="36">
        <f t="shared" si="15"/>
        <v>-0.0566428952907544</v>
      </c>
      <c r="AJ36" s="35">
        <v>1207.32</v>
      </c>
      <c r="AK36" s="36">
        <f t="shared" si="16"/>
        <v>-0.059895346664175</v>
      </c>
      <c r="AL36" s="35">
        <v>1111.52</v>
      </c>
      <c r="AM36" s="36">
        <f t="shared" si="17"/>
        <v>-0.0915094648053095</v>
      </c>
      <c r="AN36" s="35">
        <v>1228.24</v>
      </c>
      <c r="AO36" s="36">
        <f t="shared" si="18"/>
        <v>-0.016526808019986</v>
      </c>
      <c r="AP36" s="35">
        <v>1141.4</v>
      </c>
      <c r="AQ36" s="36">
        <f t="shared" si="19"/>
        <v>-0.0685186394202518</v>
      </c>
      <c r="AR36" s="35">
        <v>1156</v>
      </c>
      <c r="AS36" s="36">
        <f t="shared" si="20"/>
        <v>-0.0787963789366315</v>
      </c>
      <c r="AT36" s="35">
        <f t="shared" si="21"/>
        <v>14520.44</v>
      </c>
      <c r="AU36" s="36">
        <f t="shared" si="22"/>
        <v>-0.0256673841975017</v>
      </c>
      <c r="AV36" s="196"/>
      <c r="AW36" s="35">
        <v>1351.12</v>
      </c>
      <c r="AX36" s="36"/>
      <c r="AY36" s="35">
        <v>1239.32</v>
      </c>
      <c r="AZ36" s="36"/>
      <c r="BA36" s="35">
        <v>1245.2</v>
      </c>
      <c r="BB36" s="36"/>
      <c r="BC36" s="35">
        <v>1102.2</v>
      </c>
      <c r="BD36" s="36"/>
      <c r="BE36" s="199">
        <v>1216.64</v>
      </c>
      <c r="BF36" s="36"/>
      <c r="BG36" s="199">
        <v>1238.4</v>
      </c>
      <c r="BH36" s="36"/>
      <c r="BI36" s="199">
        <v>1273.24</v>
      </c>
      <c r="BJ36" s="36"/>
      <c r="BK36" s="199">
        <v>1284.24</v>
      </c>
      <c r="BL36" s="36"/>
      <c r="BM36" s="199">
        <v>1223.48</v>
      </c>
      <c r="BN36" s="36"/>
      <c r="BO36" s="199">
        <v>1248.88</v>
      </c>
      <c r="BP36" s="37"/>
      <c r="BQ36" s="199">
        <v>1225.36</v>
      </c>
      <c r="BR36" s="37"/>
      <c r="BS36" s="199">
        <v>1254.88</v>
      </c>
      <c r="BT36" s="37"/>
      <c r="BU36" s="35">
        <f t="shared" si="23"/>
        <v>14902.96</v>
      </c>
      <c r="BV36" s="36"/>
      <c r="BW36" s="40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4"/>
    </row>
    <row r="37" s="171" customFormat="1" ht="27" customHeight="1" spans="1:88">
      <c r="A37" s="48" t="s">
        <v>100</v>
      </c>
      <c r="B37" s="193" t="s">
        <v>278</v>
      </c>
      <c r="C37" s="35">
        <v>476.28</v>
      </c>
      <c r="D37" s="36">
        <f t="shared" ref="D37:D68" si="25">C37/V37-1</f>
        <v>0.067413715822501</v>
      </c>
      <c r="E37" s="35">
        <v>476.44</v>
      </c>
      <c r="F37" s="36">
        <f t="shared" ref="F37:F68" si="26">E37/X37-1</f>
        <v>0.0925267719966063</v>
      </c>
      <c r="G37" s="35">
        <v>451.85</v>
      </c>
      <c r="H37" s="36">
        <f t="shared" ref="H37:H68" si="27">G37/Z37-1</f>
        <v>0.101025853456468</v>
      </c>
      <c r="I37" s="35">
        <v>450</v>
      </c>
      <c r="J37" s="36">
        <f t="shared" ref="J37:J68" si="28">I37/AB37-1</f>
        <v>0.11491006392151</v>
      </c>
      <c r="K37" s="35">
        <v>458.18</v>
      </c>
      <c r="L37" s="36">
        <f t="shared" ref="L37:L68" si="29">K37/AD37-1</f>
        <v>-0.181148800800658</v>
      </c>
      <c r="M37" s="35">
        <v>483.82</v>
      </c>
      <c r="N37" s="36">
        <f t="shared" ref="N37:N68" si="30">M37/AF37-1</f>
        <v>-0.0323406468129362</v>
      </c>
      <c r="O37" s="35">
        <v>463.57</v>
      </c>
      <c r="P37" s="36">
        <f t="shared" ref="P37:P68" si="31">O37/AH37-1</f>
        <v>-0.0222929936305732</v>
      </c>
      <c r="Q37" s="175"/>
      <c r="R37" s="127"/>
      <c r="S37" s="131">
        <f t="shared" ref="S37:S68" si="32">C37+E37+G37+I37+K37+M37+O37+Q37</f>
        <v>3260.14</v>
      </c>
      <c r="T37" s="132">
        <f t="shared" ref="T37:T68" si="33">S37/SUM(V37+X37+Z37+AB37+AD37+AF37+AH37+AJ37)-1</f>
        <v>-0.114684205666864</v>
      </c>
      <c r="U37" s="35"/>
      <c r="V37" s="35">
        <v>446.2</v>
      </c>
      <c r="W37" s="36">
        <f t="shared" ref="W37:W68" si="34">V37/AW37-1</f>
        <v>-0.0733895418864478</v>
      </c>
      <c r="X37" s="35">
        <v>436.09</v>
      </c>
      <c r="Y37" s="36">
        <f t="shared" ref="Y37:Y68" si="35">X37/AY37-1</f>
        <v>-0.0233802879985667</v>
      </c>
      <c r="Z37" s="35">
        <v>410.39</v>
      </c>
      <c r="AA37" s="36">
        <f t="shared" ref="AA37:AA68" si="36">Z37/BA37-1</f>
        <v>-0.0533976103704388</v>
      </c>
      <c r="AB37" s="35">
        <v>403.62</v>
      </c>
      <c r="AC37" s="36">
        <f t="shared" ref="AC37:AC68" si="37">AB37/BC37-1</f>
        <v>-0.0473470543806647</v>
      </c>
      <c r="AD37" s="35">
        <v>559.54</v>
      </c>
      <c r="AE37" s="36">
        <f t="shared" ref="AE37:AE68" si="38">AD37/BE37-1</f>
        <v>0.236224647607264</v>
      </c>
      <c r="AF37" s="35">
        <v>499.99</v>
      </c>
      <c r="AG37" s="36">
        <f t="shared" ref="AG37:AG68" si="39">AF37/BG37-1</f>
        <v>0.069337211540518</v>
      </c>
      <c r="AH37" s="35">
        <v>474.14</v>
      </c>
      <c r="AI37" s="36">
        <f t="shared" ref="AI37:AI68" si="40">AH37/BI37-1</f>
        <v>0.0851375474893579</v>
      </c>
      <c r="AJ37" s="35">
        <v>452.49</v>
      </c>
      <c r="AK37" s="36">
        <f t="shared" ref="AK37:AK68" si="41">AJ37/BK37-1</f>
        <v>0.110841066430991</v>
      </c>
      <c r="AL37" s="35">
        <v>457.99</v>
      </c>
      <c r="AM37" s="36">
        <f t="shared" ref="AM37:AM68" si="42">AL37/BM37-1</f>
        <v>0.172139328948379</v>
      </c>
      <c r="AN37" s="35">
        <v>490.26</v>
      </c>
      <c r="AO37" s="36">
        <f t="shared" ref="AO37:AO68" si="43">AN37/BO37-1</f>
        <v>0.177094837935174</v>
      </c>
      <c r="AP37" s="35">
        <v>468.5</v>
      </c>
      <c r="AQ37" s="36">
        <f t="shared" ref="AQ37:AQ68" si="44">AP37/BQ37-1</f>
        <v>0.194604518333418</v>
      </c>
      <c r="AR37" s="35">
        <v>480.26</v>
      </c>
      <c r="AS37" s="36">
        <f t="shared" ref="AS37:AS68" si="45">AR37/BS37-1</f>
        <v>0.207806252043357</v>
      </c>
      <c r="AT37" s="35">
        <f t="shared" ref="AT37:AT68" si="46">V37+X37+Z37+AB37+AD37+AF37+AH37+AJ37+AL37+AN37+AP37+AR37</f>
        <v>5579.47</v>
      </c>
      <c r="AU37" s="36">
        <f t="shared" ref="AU37:AU68" si="47">AT37/(AW37+AY37+BA37+BC37+BE37+BG37+BI37+BK37+BM37+BO37+BQ37+BS37)-1</f>
        <v>0.0840658273101733</v>
      </c>
      <c r="AV37" s="194"/>
      <c r="AW37" s="38">
        <v>481.54</v>
      </c>
      <c r="AX37" s="37">
        <f>AW37/BX37-1</f>
        <v>-0.0105613544834388</v>
      </c>
      <c r="AY37" s="38">
        <v>446.53</v>
      </c>
      <c r="AZ37" s="37">
        <f>AY37/BY37-1</f>
        <v>-0.0172330310766794</v>
      </c>
      <c r="BA37" s="38">
        <v>433.54</v>
      </c>
      <c r="BB37" s="37">
        <f>BA37/BZ37-1</f>
        <v>-0.0291996954632988</v>
      </c>
      <c r="BC37" s="38">
        <v>423.68</v>
      </c>
      <c r="BD37" s="37">
        <f>BC37/CA37-1</f>
        <v>0.00871387076805874</v>
      </c>
      <c r="BE37" s="200">
        <v>452.62</v>
      </c>
      <c r="BF37" s="37">
        <f>BE37/CB37-1</f>
        <v>0.0356015192422092</v>
      </c>
      <c r="BG37" s="200">
        <v>467.57</v>
      </c>
      <c r="BH37" s="37">
        <f>BG37/CC37-1</f>
        <v>0.0799131579555166</v>
      </c>
      <c r="BI37" s="200">
        <v>436.94</v>
      </c>
      <c r="BJ37" s="37">
        <f>BI37/CD37-1</f>
        <v>-0.0154795971248958</v>
      </c>
      <c r="BK37" s="200">
        <v>407.34</v>
      </c>
      <c r="BL37" s="37">
        <f>BK37/CE37-1</f>
        <v>-0.101984126984127</v>
      </c>
      <c r="BM37" s="200">
        <v>390.73</v>
      </c>
      <c r="BN37" s="37">
        <f>BM37/CF37-1</f>
        <v>-0.0840405082282338</v>
      </c>
      <c r="BO37" s="200">
        <v>416.5</v>
      </c>
      <c r="BP37" s="37">
        <f>BO37/CG37-1</f>
        <v>-0.0875432677562108</v>
      </c>
      <c r="BQ37" s="200">
        <v>392.18</v>
      </c>
      <c r="BR37" s="37">
        <f>BQ37/CH37-1</f>
        <v>-0.122698700310941</v>
      </c>
      <c r="BS37" s="200">
        <v>397.63</v>
      </c>
      <c r="BT37" s="37">
        <f>BS37/CI37-1</f>
        <v>-0.133363846388562</v>
      </c>
      <c r="BU37" s="38">
        <f t="shared" ref="BU37:BU68" si="48">AW37+AY37+BA37+BC37+BE37+BG37+BI37+BK37+BM37+BO37+BQ37+BS37</f>
        <v>5146.8</v>
      </c>
      <c r="BV37" s="37">
        <f>BU37/CJ37-1</f>
        <v>-0.0404868036174697</v>
      </c>
      <c r="BW37" s="39"/>
      <c r="BX37" s="197">
        <v>486.68</v>
      </c>
      <c r="BY37" s="197">
        <v>454.36</v>
      </c>
      <c r="BZ37" s="197">
        <v>446.58</v>
      </c>
      <c r="CA37" s="197">
        <v>420.02</v>
      </c>
      <c r="CB37" s="197">
        <v>437.06</v>
      </c>
      <c r="CC37" s="197">
        <v>432.97</v>
      </c>
      <c r="CD37" s="197">
        <v>443.81</v>
      </c>
      <c r="CE37" s="197">
        <v>453.6</v>
      </c>
      <c r="CF37" s="197">
        <v>426.58</v>
      </c>
      <c r="CG37" s="197">
        <v>456.46</v>
      </c>
      <c r="CH37" s="197">
        <v>447.03</v>
      </c>
      <c r="CI37" s="197">
        <v>458.82</v>
      </c>
      <c r="CJ37" s="38">
        <f>BX37+BY37+BZ37+CA37+CB37+CC37+CD37+CE37+CF37+CG37+CH37+CI37</f>
        <v>5363.97</v>
      </c>
    </row>
    <row r="38" ht="27" customHeight="1" spans="1:88">
      <c r="A38" s="45"/>
      <c r="B38" s="193" t="s">
        <v>279</v>
      </c>
      <c r="C38" s="35">
        <v>2476.66</v>
      </c>
      <c r="D38" s="36">
        <f t="shared" si="25"/>
        <v>0.0674154397820916</v>
      </c>
      <c r="E38" s="35">
        <v>2477.49</v>
      </c>
      <c r="F38" s="36">
        <f t="shared" si="26"/>
        <v>0.092526690391459</v>
      </c>
      <c r="G38" s="35">
        <v>2349.62</v>
      </c>
      <c r="H38" s="36">
        <f t="shared" si="27"/>
        <v>0.101024821581702</v>
      </c>
      <c r="I38" s="35">
        <v>2340</v>
      </c>
      <c r="J38" s="36">
        <f t="shared" si="28"/>
        <v>0.114912188753681</v>
      </c>
      <c r="K38" s="35">
        <v>2382.54</v>
      </c>
      <c r="L38" s="36">
        <f t="shared" si="29"/>
        <v>-0.18114798890573</v>
      </c>
      <c r="M38" s="35">
        <v>2515.86</v>
      </c>
      <c r="N38" s="36">
        <f t="shared" si="30"/>
        <v>-0.0323429296717244</v>
      </c>
      <c r="O38" s="35">
        <v>2410.56</v>
      </c>
      <c r="P38" s="36">
        <f t="shared" si="31"/>
        <v>-0.0222954091006803</v>
      </c>
      <c r="Q38" s="175"/>
      <c r="R38" s="127"/>
      <c r="S38" s="35">
        <f t="shared" si="32"/>
        <v>16952.73</v>
      </c>
      <c r="T38" s="132">
        <f t="shared" si="33"/>
        <v>-0.114684471089572</v>
      </c>
      <c r="U38" s="35"/>
      <c r="V38" s="35">
        <v>2320.24</v>
      </c>
      <c r="W38" s="36">
        <f t="shared" si="34"/>
        <v>-0.0733902819876919</v>
      </c>
      <c r="X38" s="35">
        <v>2267.67</v>
      </c>
      <c r="Y38" s="36">
        <f t="shared" si="35"/>
        <v>-0.0233811090630329</v>
      </c>
      <c r="Z38" s="35">
        <v>2134.03</v>
      </c>
      <c r="AA38" s="36">
        <f t="shared" si="36"/>
        <v>-0.0533975629987445</v>
      </c>
      <c r="AB38" s="35">
        <v>2098.82</v>
      </c>
      <c r="AC38" s="36">
        <f t="shared" si="37"/>
        <v>-0.0473505995987544</v>
      </c>
      <c r="AD38" s="35">
        <v>2909.61</v>
      </c>
      <c r="AE38" s="36">
        <f t="shared" si="38"/>
        <v>0.23622759833788</v>
      </c>
      <c r="AF38" s="35">
        <v>2599.95</v>
      </c>
      <c r="AG38" s="36">
        <f t="shared" si="39"/>
        <v>0.0693397933666753</v>
      </c>
      <c r="AH38" s="35">
        <v>2465.53</v>
      </c>
      <c r="AI38" s="36">
        <f t="shared" si="40"/>
        <v>0.0851374725473022</v>
      </c>
      <c r="AJ38" s="35">
        <v>2352.95</v>
      </c>
      <c r="AK38" s="36">
        <f t="shared" si="41"/>
        <v>0.110840961773606</v>
      </c>
      <c r="AL38" s="35">
        <v>2381.55</v>
      </c>
      <c r="AM38" s="36">
        <f t="shared" si="42"/>
        <v>0.172138005709223</v>
      </c>
      <c r="AN38" s="35">
        <v>2549.35</v>
      </c>
      <c r="AO38" s="36">
        <f t="shared" si="43"/>
        <v>0.177093914488872</v>
      </c>
      <c r="AP38" s="35">
        <v>2436.2</v>
      </c>
      <c r="AQ38" s="36">
        <f t="shared" si="44"/>
        <v>0.194602175213549</v>
      </c>
      <c r="AR38" s="35">
        <v>2497.35</v>
      </c>
      <c r="AS38" s="36">
        <f t="shared" si="45"/>
        <v>0.207802948231835</v>
      </c>
      <c r="AT38" s="35">
        <f t="shared" si="46"/>
        <v>29013.25</v>
      </c>
      <c r="AU38" s="36">
        <f t="shared" si="47"/>
        <v>0.0840652413858038</v>
      </c>
      <c r="AV38" s="196"/>
      <c r="AW38" s="35">
        <v>2504.01</v>
      </c>
      <c r="AX38" s="36"/>
      <c r="AY38" s="35">
        <v>2321.96</v>
      </c>
      <c r="AZ38" s="36"/>
      <c r="BA38" s="35">
        <v>2254.41</v>
      </c>
      <c r="BB38" s="36"/>
      <c r="BC38" s="35">
        <v>2203.14</v>
      </c>
      <c r="BD38" s="36"/>
      <c r="BE38" s="199">
        <v>2353.62</v>
      </c>
      <c r="BF38" s="36"/>
      <c r="BG38" s="199">
        <v>2431.36</v>
      </c>
      <c r="BH38" s="36"/>
      <c r="BI38" s="199">
        <v>2272.09</v>
      </c>
      <c r="BJ38" s="36"/>
      <c r="BK38" s="199">
        <v>2118.17</v>
      </c>
      <c r="BL38" s="36"/>
      <c r="BM38" s="199">
        <v>2031.8</v>
      </c>
      <c r="BN38" s="36"/>
      <c r="BO38" s="199">
        <v>2165.8</v>
      </c>
      <c r="BP38" s="37"/>
      <c r="BQ38" s="199">
        <v>2039.34</v>
      </c>
      <c r="BR38" s="37"/>
      <c r="BS38" s="199">
        <v>2067.68</v>
      </c>
      <c r="BT38" s="37"/>
      <c r="BU38" s="35">
        <f t="shared" si="48"/>
        <v>26763.38</v>
      </c>
      <c r="BV38" s="36"/>
      <c r="BW38" s="40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4"/>
    </row>
    <row r="39" ht="27" customHeight="1" spans="1:88">
      <c r="A39" s="45"/>
      <c r="B39" s="193" t="s">
        <v>280</v>
      </c>
      <c r="C39" s="35">
        <v>398.5</v>
      </c>
      <c r="D39" s="36">
        <f t="shared" si="25"/>
        <v>0.0745294720379657</v>
      </c>
      <c r="E39" s="35">
        <v>398.04</v>
      </c>
      <c r="F39" s="36">
        <f t="shared" si="26"/>
        <v>0.102664967588232</v>
      </c>
      <c r="G39" s="35">
        <v>379.17</v>
      </c>
      <c r="H39" s="36">
        <f t="shared" si="27"/>
        <v>0.113895417156287</v>
      </c>
      <c r="I39" s="35">
        <v>381.12</v>
      </c>
      <c r="J39" s="36">
        <f t="shared" si="28"/>
        <v>0.137298200590851</v>
      </c>
      <c r="K39" s="35">
        <v>380.58</v>
      </c>
      <c r="L39" s="36">
        <f t="shared" si="29"/>
        <v>-0.131433005454504</v>
      </c>
      <c r="M39" s="35">
        <v>398.02</v>
      </c>
      <c r="N39" s="36">
        <f t="shared" si="30"/>
        <v>-0.00502462315326346</v>
      </c>
      <c r="O39" s="35">
        <v>386.28</v>
      </c>
      <c r="P39" s="36">
        <f t="shared" si="31"/>
        <v>0.0137518370774721</v>
      </c>
      <c r="Q39" s="175"/>
      <c r="R39" s="127"/>
      <c r="S39" s="35">
        <f t="shared" si="32"/>
        <v>2721.71</v>
      </c>
      <c r="T39" s="132">
        <f t="shared" si="33"/>
        <v>-0.090042560589496</v>
      </c>
      <c r="U39" s="35"/>
      <c r="V39" s="35">
        <v>370.86</v>
      </c>
      <c r="W39" s="36">
        <f t="shared" si="34"/>
        <v>-0.0260773654770347</v>
      </c>
      <c r="X39" s="35">
        <v>360.98</v>
      </c>
      <c r="Y39" s="36">
        <f t="shared" si="35"/>
        <v>-0.0168854512773027</v>
      </c>
      <c r="Z39" s="35">
        <v>340.4</v>
      </c>
      <c r="AA39" s="36">
        <f t="shared" si="36"/>
        <v>-0.0498785831914478</v>
      </c>
      <c r="AB39" s="35">
        <v>335.11</v>
      </c>
      <c r="AC39" s="36">
        <f t="shared" si="37"/>
        <v>-0.0504915989006318</v>
      </c>
      <c r="AD39" s="35">
        <v>438.17</v>
      </c>
      <c r="AE39" s="36">
        <f t="shared" si="38"/>
        <v>0.161977246811106</v>
      </c>
      <c r="AF39" s="35">
        <v>400.03</v>
      </c>
      <c r="AG39" s="36">
        <f t="shared" si="39"/>
        <v>0.0126829021315376</v>
      </c>
      <c r="AH39" s="35">
        <v>381.04</v>
      </c>
      <c r="AI39" s="36">
        <f t="shared" si="40"/>
        <v>0.0389922015596882</v>
      </c>
      <c r="AJ39" s="35">
        <v>364.44</v>
      </c>
      <c r="AK39" s="36">
        <f t="shared" si="41"/>
        <v>0.0761871013465627</v>
      </c>
      <c r="AL39" s="35">
        <v>368.66</v>
      </c>
      <c r="AM39" s="36">
        <f t="shared" si="42"/>
        <v>0.143025454996435</v>
      </c>
      <c r="AN39" s="35">
        <v>395.2</v>
      </c>
      <c r="AO39" s="36">
        <f t="shared" si="43"/>
        <v>0.133157472187177</v>
      </c>
      <c r="AP39" s="35">
        <v>377.05</v>
      </c>
      <c r="AQ39" s="36">
        <f t="shared" si="44"/>
        <v>0.14961278126715</v>
      </c>
      <c r="AR39" s="35">
        <v>384.23</v>
      </c>
      <c r="AS39" s="36">
        <f t="shared" si="45"/>
        <v>0.15346282008946</v>
      </c>
      <c r="AT39" s="35">
        <f t="shared" si="46"/>
        <v>4516.17</v>
      </c>
      <c r="AU39" s="36">
        <f t="shared" si="47"/>
        <v>0.0578888930532391</v>
      </c>
      <c r="AV39" s="196"/>
      <c r="AW39" s="35">
        <v>380.79</v>
      </c>
      <c r="AX39" s="36"/>
      <c r="AY39" s="35">
        <v>367.18</v>
      </c>
      <c r="AZ39" s="36"/>
      <c r="BA39" s="35">
        <v>358.27</v>
      </c>
      <c r="BB39" s="36"/>
      <c r="BC39" s="35">
        <v>352.93</v>
      </c>
      <c r="BD39" s="36"/>
      <c r="BE39" s="199">
        <v>377.09</v>
      </c>
      <c r="BF39" s="36"/>
      <c r="BG39" s="199">
        <v>395.02</v>
      </c>
      <c r="BH39" s="36"/>
      <c r="BI39" s="199">
        <v>366.74</v>
      </c>
      <c r="BJ39" s="36"/>
      <c r="BK39" s="199">
        <v>338.64</v>
      </c>
      <c r="BL39" s="36"/>
      <c r="BM39" s="199">
        <v>322.53</v>
      </c>
      <c r="BN39" s="36"/>
      <c r="BO39" s="199">
        <v>348.76</v>
      </c>
      <c r="BP39" s="37"/>
      <c r="BQ39" s="199">
        <v>327.98</v>
      </c>
      <c r="BR39" s="37"/>
      <c r="BS39" s="199">
        <v>333.11</v>
      </c>
      <c r="BT39" s="37"/>
      <c r="BU39" s="35">
        <f t="shared" si="48"/>
        <v>4269.04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4"/>
    </row>
    <row r="40" ht="27" customHeight="1" spans="1:88">
      <c r="A40" s="29"/>
      <c r="B40" s="193" t="s">
        <v>276</v>
      </c>
      <c r="C40" s="35">
        <v>1354.9</v>
      </c>
      <c r="D40" s="36">
        <f t="shared" si="25"/>
        <v>0.0745328807537353</v>
      </c>
      <c r="E40" s="35">
        <v>1353.34</v>
      </c>
      <c r="F40" s="36">
        <f t="shared" si="26"/>
        <v>0.102670023547049</v>
      </c>
      <c r="G40" s="35">
        <v>1289.18</v>
      </c>
      <c r="H40" s="36">
        <f t="shared" si="27"/>
        <v>0.113897145227069</v>
      </c>
      <c r="I40" s="35">
        <v>1295.81</v>
      </c>
      <c r="J40" s="36">
        <f t="shared" si="28"/>
        <v>0.13730394867339</v>
      </c>
      <c r="K40" s="35">
        <v>1293.97</v>
      </c>
      <c r="L40" s="36">
        <f t="shared" si="29"/>
        <v>-0.131435513968505</v>
      </c>
      <c r="M40" s="35">
        <v>1353.27</v>
      </c>
      <c r="N40" s="36">
        <f t="shared" si="30"/>
        <v>-0.00502168958164839</v>
      </c>
      <c r="O40" s="35">
        <v>1313.35</v>
      </c>
      <c r="P40" s="36">
        <f t="shared" si="31"/>
        <v>0.0137471633450144</v>
      </c>
      <c r="Q40" s="175"/>
      <c r="R40" s="127"/>
      <c r="S40" s="35">
        <f t="shared" si="32"/>
        <v>9253.82</v>
      </c>
      <c r="T40" s="132">
        <f t="shared" si="33"/>
        <v>-0.0900417916318401</v>
      </c>
      <c r="U40" s="35"/>
      <c r="V40" s="35">
        <v>1260.92</v>
      </c>
      <c r="W40" s="36">
        <f t="shared" si="34"/>
        <v>-0.0260834639952421</v>
      </c>
      <c r="X40" s="35">
        <v>1227.33</v>
      </c>
      <c r="Y40" s="36">
        <f t="shared" si="35"/>
        <v>-0.0168854783284339</v>
      </c>
      <c r="Z40" s="35">
        <v>1157.36</v>
      </c>
      <c r="AA40" s="36">
        <f t="shared" si="36"/>
        <v>-0.0498801431714445</v>
      </c>
      <c r="AB40" s="35">
        <v>1139.37</v>
      </c>
      <c r="AC40" s="36">
        <f t="shared" si="37"/>
        <v>-0.0504933497783261</v>
      </c>
      <c r="AD40" s="35">
        <v>1489.78</v>
      </c>
      <c r="AE40" s="36">
        <f t="shared" si="38"/>
        <v>0.161975181536686</v>
      </c>
      <c r="AF40" s="35">
        <v>1360.1</v>
      </c>
      <c r="AG40" s="36">
        <f t="shared" si="39"/>
        <v>0.0126799049937829</v>
      </c>
      <c r="AH40" s="35">
        <v>1295.54</v>
      </c>
      <c r="AI40" s="36">
        <f t="shared" si="40"/>
        <v>0.0389920764764378</v>
      </c>
      <c r="AJ40" s="35">
        <v>1239.1</v>
      </c>
      <c r="AK40" s="36">
        <f t="shared" si="41"/>
        <v>0.0761868366655662</v>
      </c>
      <c r="AL40" s="35">
        <v>1253.44</v>
      </c>
      <c r="AM40" s="36">
        <f t="shared" si="42"/>
        <v>0.143023892029911</v>
      </c>
      <c r="AN40" s="35">
        <v>1343.68</v>
      </c>
      <c r="AO40" s="36">
        <f t="shared" si="43"/>
        <v>0.133161294675235</v>
      </c>
      <c r="AP40" s="35">
        <v>1281.97</v>
      </c>
      <c r="AQ40" s="36">
        <f t="shared" si="44"/>
        <v>0.149614843112462</v>
      </c>
      <c r="AR40" s="35">
        <v>1306.38</v>
      </c>
      <c r="AS40" s="36">
        <f t="shared" si="45"/>
        <v>0.15346512798326</v>
      </c>
      <c r="AT40" s="35">
        <f t="shared" si="46"/>
        <v>15354.97</v>
      </c>
      <c r="AU40" s="36">
        <f t="shared" si="47"/>
        <v>0.0578880503543291</v>
      </c>
      <c r="AV40" s="196"/>
      <c r="AW40" s="35">
        <v>1294.69</v>
      </c>
      <c r="AX40" s="36"/>
      <c r="AY40" s="35">
        <v>1248.41</v>
      </c>
      <c r="AZ40" s="36"/>
      <c r="BA40" s="35">
        <v>1218.12</v>
      </c>
      <c r="BB40" s="36"/>
      <c r="BC40" s="35">
        <v>1199.96</v>
      </c>
      <c r="BD40" s="36"/>
      <c r="BE40" s="199">
        <v>1282.11</v>
      </c>
      <c r="BF40" s="36"/>
      <c r="BG40" s="199">
        <v>1343.07</v>
      </c>
      <c r="BH40" s="36"/>
      <c r="BI40" s="199">
        <v>1246.92</v>
      </c>
      <c r="BJ40" s="36"/>
      <c r="BK40" s="199">
        <v>1151.38</v>
      </c>
      <c r="BL40" s="36"/>
      <c r="BM40" s="199">
        <v>1096.6</v>
      </c>
      <c r="BN40" s="36"/>
      <c r="BO40" s="199">
        <v>1185.78</v>
      </c>
      <c r="BP40" s="37"/>
      <c r="BQ40" s="199">
        <v>1115.13</v>
      </c>
      <c r="BR40" s="37"/>
      <c r="BS40" s="199">
        <v>1132.57</v>
      </c>
      <c r="BT40" s="37"/>
      <c r="BU40" s="35">
        <f t="shared" si="48"/>
        <v>14514.74</v>
      </c>
      <c r="BV40" s="36"/>
      <c r="BW40" s="40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4"/>
    </row>
    <row r="41" s="169" customFormat="1" ht="27" customHeight="1" spans="1:88">
      <c r="A41" s="48" t="s">
        <v>101</v>
      </c>
      <c r="B41" s="193" t="s">
        <v>278</v>
      </c>
      <c r="C41" s="35">
        <v>842.4</v>
      </c>
      <c r="D41" s="36">
        <f t="shared" si="25"/>
        <v>-0.012044518981552</v>
      </c>
      <c r="E41" s="35">
        <v>852.9</v>
      </c>
      <c r="F41" s="36">
        <f t="shared" si="26"/>
        <v>0.105437107122027</v>
      </c>
      <c r="G41" s="35">
        <v>798.83</v>
      </c>
      <c r="H41" s="36">
        <f t="shared" si="27"/>
        <v>0.0535179690075833</v>
      </c>
      <c r="I41" s="35">
        <v>760.18</v>
      </c>
      <c r="J41" s="36">
        <f t="shared" si="28"/>
        <v>0.0554244300669202</v>
      </c>
      <c r="K41" s="35">
        <v>726</v>
      </c>
      <c r="L41" s="36">
        <f t="shared" si="29"/>
        <v>-0.0240361348604614</v>
      </c>
      <c r="M41" s="35">
        <v>713.07</v>
      </c>
      <c r="N41" s="36">
        <f t="shared" si="30"/>
        <v>-0.00900562851782349</v>
      </c>
      <c r="O41" s="35">
        <v>707.34</v>
      </c>
      <c r="P41" s="36">
        <f t="shared" si="31"/>
        <v>-0.0829724894339721</v>
      </c>
      <c r="Q41" s="175"/>
      <c r="R41" s="127"/>
      <c r="S41" s="131">
        <f t="shared" si="32"/>
        <v>5400.72</v>
      </c>
      <c r="T41" s="132">
        <f t="shared" si="33"/>
        <v>-0.115727634575679</v>
      </c>
      <c r="U41" s="35"/>
      <c r="V41" s="35">
        <v>852.67</v>
      </c>
      <c r="W41" s="36">
        <f t="shared" si="34"/>
        <v>-0.0736781496811482</v>
      </c>
      <c r="X41" s="35">
        <v>771.55</v>
      </c>
      <c r="Y41" s="36">
        <f t="shared" si="35"/>
        <v>-0.221474410720052</v>
      </c>
      <c r="Z41" s="35">
        <v>758.25</v>
      </c>
      <c r="AA41" s="36">
        <f t="shared" si="36"/>
        <v>-0.115021008403361</v>
      </c>
      <c r="AB41" s="35">
        <v>720.26</v>
      </c>
      <c r="AC41" s="36">
        <f t="shared" si="37"/>
        <v>-0.0857556294585058</v>
      </c>
      <c r="AD41" s="35">
        <v>743.88</v>
      </c>
      <c r="AE41" s="36">
        <f t="shared" si="38"/>
        <v>-0.0600811189871497</v>
      </c>
      <c r="AF41" s="35">
        <v>719.55</v>
      </c>
      <c r="AG41" s="36">
        <f t="shared" si="39"/>
        <v>-0.091041156110255</v>
      </c>
      <c r="AH41" s="35">
        <v>771.34</v>
      </c>
      <c r="AI41" s="36">
        <f t="shared" si="40"/>
        <v>-0.0439395629593822</v>
      </c>
      <c r="AJ41" s="35">
        <v>770.03</v>
      </c>
      <c r="AK41" s="36">
        <f t="shared" si="41"/>
        <v>0.0115602380358104</v>
      </c>
      <c r="AL41" s="35">
        <v>779.83</v>
      </c>
      <c r="AM41" s="36">
        <f t="shared" si="42"/>
        <v>0.13051609162076</v>
      </c>
      <c r="AN41" s="35">
        <v>889.41</v>
      </c>
      <c r="AO41" s="36">
        <f t="shared" si="43"/>
        <v>0.260483836680319</v>
      </c>
      <c r="AP41" s="35">
        <v>774.87</v>
      </c>
      <c r="AQ41" s="36">
        <f t="shared" si="44"/>
        <v>0.130240088684034</v>
      </c>
      <c r="AR41" s="35">
        <v>784.51</v>
      </c>
      <c r="AS41" s="36">
        <f t="shared" si="45"/>
        <v>0.0850010372726644</v>
      </c>
      <c r="AT41" s="35">
        <f t="shared" si="46"/>
        <v>9336.15</v>
      </c>
      <c r="AU41" s="36">
        <f t="shared" si="47"/>
        <v>-0.018410809924237</v>
      </c>
      <c r="AV41" s="194"/>
      <c r="AW41" s="38">
        <v>920.49</v>
      </c>
      <c r="AX41" s="37">
        <f>AW41/BX41-1</f>
        <v>0.0538795324181676</v>
      </c>
      <c r="AY41" s="38">
        <v>991.04</v>
      </c>
      <c r="AZ41" s="37">
        <f>AY41/BY41-1</f>
        <v>0.261699852319601</v>
      </c>
      <c r="BA41" s="38">
        <v>856.8</v>
      </c>
      <c r="BB41" s="37">
        <f>BA41/BZ41-1</f>
        <v>-0.000466635557629602</v>
      </c>
      <c r="BC41" s="38">
        <v>787.82</v>
      </c>
      <c r="BD41" s="37">
        <f>BC41/CA41-1</f>
        <v>-0.018243900007477</v>
      </c>
      <c r="BE41" s="200">
        <v>791.43</v>
      </c>
      <c r="BF41" s="37">
        <f>BE41/CB41-1</f>
        <v>-0.0522931385462819</v>
      </c>
      <c r="BG41" s="200">
        <v>791.62</v>
      </c>
      <c r="BH41" s="37">
        <f>BG41/CC41-1</f>
        <v>-0.0296871935673662</v>
      </c>
      <c r="BI41" s="200">
        <v>806.79</v>
      </c>
      <c r="BJ41" s="37">
        <f>BI41/CD41-1</f>
        <v>-0.0520063451031079</v>
      </c>
      <c r="BK41" s="200">
        <v>761.23</v>
      </c>
      <c r="BL41" s="37">
        <f>BK41/CE41-1</f>
        <v>-0.0963341959685652</v>
      </c>
      <c r="BM41" s="200">
        <v>689.8</v>
      </c>
      <c r="BN41" s="37">
        <f>BM41/CF41-1</f>
        <v>-0.163828110794594</v>
      </c>
      <c r="BO41" s="200">
        <v>705.61</v>
      </c>
      <c r="BP41" s="37">
        <f>BO41/CG41-1</f>
        <v>-0.147772839267598</v>
      </c>
      <c r="BQ41" s="200">
        <v>685.58</v>
      </c>
      <c r="BR41" s="37">
        <f>BQ41/CH41-1</f>
        <v>-0.145524341301693</v>
      </c>
      <c r="BS41" s="200">
        <v>723.05</v>
      </c>
      <c r="BT41" s="37">
        <f>BS41/CI41-1</f>
        <v>-0.13865195844849</v>
      </c>
      <c r="BU41" s="38">
        <f t="shared" si="48"/>
        <v>9511.26</v>
      </c>
      <c r="BV41" s="37">
        <f>BU41/CJ41-1</f>
        <v>-0.044826931709654</v>
      </c>
      <c r="BW41" s="39"/>
      <c r="BX41" s="195">
        <v>873.43</v>
      </c>
      <c r="BY41" s="195">
        <v>785.48</v>
      </c>
      <c r="BZ41" s="195">
        <v>857.2</v>
      </c>
      <c r="CA41" s="195">
        <v>802.46</v>
      </c>
      <c r="CB41" s="195">
        <v>835.1</v>
      </c>
      <c r="CC41" s="195">
        <v>815.84</v>
      </c>
      <c r="CD41" s="195">
        <v>851.05</v>
      </c>
      <c r="CE41" s="195">
        <v>842.38</v>
      </c>
      <c r="CF41" s="195">
        <v>824.95</v>
      </c>
      <c r="CG41" s="195">
        <v>827.96</v>
      </c>
      <c r="CH41" s="195">
        <v>802.34</v>
      </c>
      <c r="CI41" s="195">
        <v>839.44</v>
      </c>
      <c r="CJ41" s="38">
        <f>BX41+BY41+BZ41+CA41+CB41+CC41+CD41+CE41+CF41+CG41+CH41+CI41</f>
        <v>9957.63</v>
      </c>
    </row>
    <row r="42" s="170" customFormat="1" ht="27" customHeight="1" spans="1:88">
      <c r="A42" s="45"/>
      <c r="B42" s="193" t="s">
        <v>279</v>
      </c>
      <c r="C42" s="35">
        <v>4094.06</v>
      </c>
      <c r="D42" s="36">
        <f t="shared" si="25"/>
        <v>-0.0397082106793955</v>
      </c>
      <c r="E42" s="35">
        <v>4196.27</v>
      </c>
      <c r="F42" s="36">
        <f t="shared" si="26"/>
        <v>0.0877506318449874</v>
      </c>
      <c r="G42" s="35">
        <v>3786.45</v>
      </c>
      <c r="H42" s="36">
        <f t="shared" si="27"/>
        <v>-0.00126607319485661</v>
      </c>
      <c r="I42" s="35">
        <v>3717.28</v>
      </c>
      <c r="J42" s="36">
        <f t="shared" si="28"/>
        <v>0.0322050370699469</v>
      </c>
      <c r="K42" s="35">
        <v>3579.18</v>
      </c>
      <c r="L42" s="36">
        <f t="shared" si="29"/>
        <v>-0.037699628972415</v>
      </c>
      <c r="M42" s="35">
        <v>3465.52</v>
      </c>
      <c r="N42" s="36">
        <f t="shared" si="30"/>
        <v>-0.036753526509624</v>
      </c>
      <c r="O42" s="35">
        <v>3444.75</v>
      </c>
      <c r="P42" s="36">
        <f t="shared" si="31"/>
        <v>-0.157371395024584</v>
      </c>
      <c r="Q42" s="175"/>
      <c r="R42" s="127"/>
      <c r="S42" s="35">
        <f t="shared" si="32"/>
        <v>26283.51</v>
      </c>
      <c r="T42" s="132">
        <f t="shared" si="33"/>
        <v>-0.152567461517579</v>
      </c>
      <c r="U42" s="35"/>
      <c r="V42" s="35">
        <v>4263.35</v>
      </c>
      <c r="W42" s="36">
        <f t="shared" si="34"/>
        <v>-0.0736781496811479</v>
      </c>
      <c r="X42" s="35">
        <v>3857.75</v>
      </c>
      <c r="Y42" s="36">
        <f t="shared" si="35"/>
        <v>-0.221474410720052</v>
      </c>
      <c r="Z42" s="35">
        <v>3791.25</v>
      </c>
      <c r="AA42" s="36">
        <f t="shared" si="36"/>
        <v>-0.115021008403361</v>
      </c>
      <c r="AB42" s="35">
        <v>3601.3</v>
      </c>
      <c r="AC42" s="36">
        <f t="shared" si="37"/>
        <v>-0.0857556294585057</v>
      </c>
      <c r="AD42" s="35">
        <v>3719.4</v>
      </c>
      <c r="AE42" s="36">
        <f t="shared" si="38"/>
        <v>-0.0600811189871499</v>
      </c>
      <c r="AF42" s="35">
        <v>3597.75</v>
      </c>
      <c r="AG42" s="36">
        <f t="shared" si="39"/>
        <v>-0.0910411561102549</v>
      </c>
      <c r="AH42" s="35">
        <v>4088.1</v>
      </c>
      <c r="AI42" s="36">
        <f t="shared" si="40"/>
        <v>0.0134235674710892</v>
      </c>
      <c r="AJ42" s="35">
        <v>4096.56</v>
      </c>
      <c r="AK42" s="36">
        <f t="shared" si="41"/>
        <v>0.0763001983631755</v>
      </c>
      <c r="AL42" s="35">
        <v>3945.94</v>
      </c>
      <c r="AM42" s="36">
        <f t="shared" si="42"/>
        <v>0.144082342708031</v>
      </c>
      <c r="AN42" s="35">
        <v>4429.26</v>
      </c>
      <c r="AO42" s="36">
        <f t="shared" si="43"/>
        <v>0.255441391136747</v>
      </c>
      <c r="AP42" s="35">
        <v>3874.35</v>
      </c>
      <c r="AQ42" s="36">
        <f t="shared" si="44"/>
        <v>0.130240088684034</v>
      </c>
      <c r="AR42" s="35">
        <v>3930.4</v>
      </c>
      <c r="AS42" s="36">
        <f t="shared" si="45"/>
        <v>0.0871723947168246</v>
      </c>
      <c r="AT42" s="35">
        <f t="shared" si="46"/>
        <v>47195.41</v>
      </c>
      <c r="AU42" s="36">
        <f t="shared" si="47"/>
        <v>-0.00758868961630743</v>
      </c>
      <c r="AV42" s="196"/>
      <c r="AW42" s="35">
        <v>4602.45</v>
      </c>
      <c r="AX42" s="36"/>
      <c r="AY42" s="35">
        <v>4955.2</v>
      </c>
      <c r="AZ42" s="36"/>
      <c r="BA42" s="35">
        <v>4284</v>
      </c>
      <c r="BB42" s="36"/>
      <c r="BC42" s="35">
        <v>3939.1</v>
      </c>
      <c r="BD42" s="36"/>
      <c r="BE42" s="199">
        <v>3957.15</v>
      </c>
      <c r="BF42" s="36"/>
      <c r="BG42" s="199">
        <v>3958.1</v>
      </c>
      <c r="BH42" s="36"/>
      <c r="BI42" s="199">
        <v>4033.95</v>
      </c>
      <c r="BJ42" s="36"/>
      <c r="BK42" s="199">
        <v>3806.15</v>
      </c>
      <c r="BL42" s="36"/>
      <c r="BM42" s="199">
        <v>3449</v>
      </c>
      <c r="BN42" s="36"/>
      <c r="BO42" s="199">
        <v>3528.05</v>
      </c>
      <c r="BP42" s="37"/>
      <c r="BQ42" s="199">
        <v>3427.9</v>
      </c>
      <c r="BR42" s="37"/>
      <c r="BS42" s="199">
        <v>3615.25</v>
      </c>
      <c r="BT42" s="37"/>
      <c r="BU42" s="35">
        <f t="shared" si="48"/>
        <v>47556.3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4"/>
    </row>
    <row r="43" s="170" customFormat="1" ht="27" customHeight="1" spans="1:88">
      <c r="A43" s="45"/>
      <c r="B43" s="193" t="s">
        <v>280</v>
      </c>
      <c r="C43" s="35">
        <v>717.1</v>
      </c>
      <c r="D43" s="36">
        <f t="shared" si="25"/>
        <v>-0.156462104904071</v>
      </c>
      <c r="E43" s="35">
        <v>724.11</v>
      </c>
      <c r="F43" s="36">
        <f t="shared" si="26"/>
        <v>-0.0586560586560586</v>
      </c>
      <c r="G43" s="35">
        <v>693.24</v>
      </c>
      <c r="H43" s="36">
        <f t="shared" si="27"/>
        <v>-0.0828945627728536</v>
      </c>
      <c r="I43" s="35">
        <v>661.33</v>
      </c>
      <c r="J43" s="36">
        <f t="shared" si="28"/>
        <v>-0.0790558418047625</v>
      </c>
      <c r="K43" s="35">
        <v>623.6</v>
      </c>
      <c r="L43" s="36">
        <f t="shared" si="29"/>
        <v>-0.159115426105717</v>
      </c>
      <c r="M43" s="35">
        <v>612.29</v>
      </c>
      <c r="N43" s="36">
        <f t="shared" si="30"/>
        <v>-0.146503296672661</v>
      </c>
      <c r="O43" s="35">
        <v>610.52</v>
      </c>
      <c r="P43" s="36">
        <f t="shared" si="31"/>
        <v>-0.104809384164223</v>
      </c>
      <c r="Q43" s="175"/>
      <c r="R43" s="127"/>
      <c r="S43" s="35">
        <f t="shared" si="32"/>
        <v>4642.19</v>
      </c>
      <c r="T43" s="132">
        <f t="shared" si="33"/>
        <v>-0.208627684964201</v>
      </c>
      <c r="U43" s="35"/>
      <c r="V43" s="35">
        <v>850.11</v>
      </c>
      <c r="W43" s="36">
        <f t="shared" si="34"/>
        <v>-0.0736515201046094</v>
      </c>
      <c r="X43" s="35">
        <v>769.23</v>
      </c>
      <c r="Y43" s="36">
        <f t="shared" si="35"/>
        <v>-0.219135113186478</v>
      </c>
      <c r="Z43" s="35">
        <v>755.9</v>
      </c>
      <c r="AA43" s="36">
        <f t="shared" si="36"/>
        <v>-0.11510951383117</v>
      </c>
      <c r="AB43" s="35">
        <v>718.1</v>
      </c>
      <c r="AC43" s="36">
        <f t="shared" si="37"/>
        <v>-0.0856888209829386</v>
      </c>
      <c r="AD43" s="35">
        <v>741.6</v>
      </c>
      <c r="AE43" s="36">
        <f t="shared" si="38"/>
        <v>-0.0601951590419465</v>
      </c>
      <c r="AF43" s="35">
        <v>717.39</v>
      </c>
      <c r="AG43" s="36">
        <f t="shared" si="39"/>
        <v>-0.0910484637313905</v>
      </c>
      <c r="AH43" s="35">
        <v>682</v>
      </c>
      <c r="AI43" s="36">
        <f t="shared" si="40"/>
        <v>-0.152120940872246</v>
      </c>
      <c r="AJ43" s="35">
        <v>631.67</v>
      </c>
      <c r="AK43" s="36">
        <f t="shared" si="41"/>
        <v>-0.167705382436261</v>
      </c>
      <c r="AL43" s="35">
        <v>636.09</v>
      </c>
      <c r="AM43" s="36">
        <f t="shared" si="42"/>
        <v>-0.0750876070550943</v>
      </c>
      <c r="AN43" s="35">
        <v>775.83</v>
      </c>
      <c r="AO43" s="36">
        <f t="shared" si="43"/>
        <v>0.102814498933902</v>
      </c>
      <c r="AP43" s="35">
        <v>662.12</v>
      </c>
      <c r="AQ43" s="36">
        <f t="shared" si="44"/>
        <v>-0.0313085205992509</v>
      </c>
      <c r="AR43" s="35">
        <v>667.55</v>
      </c>
      <c r="AS43" s="36">
        <f t="shared" si="45"/>
        <v>-0.0739790256353346</v>
      </c>
      <c r="AT43" s="35">
        <f t="shared" si="46"/>
        <v>8607.59</v>
      </c>
      <c r="AU43" s="36">
        <f t="shared" si="47"/>
        <v>-0.0919995527294054</v>
      </c>
      <c r="AV43" s="196"/>
      <c r="AW43" s="35">
        <v>917.7</v>
      </c>
      <c r="AX43" s="36"/>
      <c r="AY43" s="35">
        <v>985.1</v>
      </c>
      <c r="AZ43" s="36"/>
      <c r="BA43" s="35">
        <v>854.23</v>
      </c>
      <c r="BB43" s="36"/>
      <c r="BC43" s="35">
        <v>785.4</v>
      </c>
      <c r="BD43" s="36"/>
      <c r="BE43" s="199">
        <v>789.1</v>
      </c>
      <c r="BF43" s="36"/>
      <c r="BG43" s="199">
        <v>789.25</v>
      </c>
      <c r="BH43" s="36"/>
      <c r="BI43" s="199">
        <v>804.36</v>
      </c>
      <c r="BJ43" s="36"/>
      <c r="BK43" s="199">
        <v>758.95</v>
      </c>
      <c r="BL43" s="36"/>
      <c r="BM43" s="199">
        <v>687.73</v>
      </c>
      <c r="BN43" s="36"/>
      <c r="BO43" s="199">
        <v>703.5</v>
      </c>
      <c r="BP43" s="37"/>
      <c r="BQ43" s="199">
        <v>683.52</v>
      </c>
      <c r="BR43" s="37"/>
      <c r="BS43" s="199">
        <v>720.88</v>
      </c>
      <c r="BT43" s="37"/>
      <c r="BU43" s="35">
        <f t="shared" si="48"/>
        <v>9479.72</v>
      </c>
      <c r="BV43" s="36"/>
      <c r="BW43" s="40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4"/>
    </row>
    <row r="44" s="170" customFormat="1" ht="29.1" customHeight="1" spans="1:88">
      <c r="A44" s="29"/>
      <c r="B44" s="193" t="s">
        <v>276</v>
      </c>
      <c r="C44" s="35">
        <v>2588.73</v>
      </c>
      <c r="D44" s="36">
        <f t="shared" si="25"/>
        <v>-0.238707343755514</v>
      </c>
      <c r="E44" s="35">
        <v>2635.76</v>
      </c>
      <c r="F44" s="36">
        <f t="shared" si="26"/>
        <v>-0.143377143377143</v>
      </c>
      <c r="G44" s="35">
        <v>2537.26</v>
      </c>
      <c r="H44" s="36">
        <f t="shared" si="27"/>
        <v>-0.160847995766636</v>
      </c>
      <c r="I44" s="35">
        <v>2605.64</v>
      </c>
      <c r="J44" s="36">
        <f t="shared" si="28"/>
        <v>-0.0928700738058766</v>
      </c>
      <c r="K44" s="35">
        <v>2456.98</v>
      </c>
      <c r="L44" s="36">
        <f t="shared" si="29"/>
        <v>-0.171730043149946</v>
      </c>
      <c r="M44" s="35">
        <v>2326.7</v>
      </c>
      <c r="N44" s="36">
        <f t="shared" si="30"/>
        <v>-0.189178828809992</v>
      </c>
      <c r="O44" s="35">
        <v>2350.5</v>
      </c>
      <c r="P44" s="36">
        <f t="shared" si="31"/>
        <v>-0.138379765395894</v>
      </c>
      <c r="Q44" s="175"/>
      <c r="R44" s="127"/>
      <c r="S44" s="35">
        <f t="shared" si="32"/>
        <v>17501.57</v>
      </c>
      <c r="T44" s="132">
        <f t="shared" si="33"/>
        <v>-0.254109699965905</v>
      </c>
      <c r="U44" s="35"/>
      <c r="V44" s="35">
        <v>3400.44</v>
      </c>
      <c r="W44" s="36">
        <f t="shared" si="34"/>
        <v>-0.0736515201046094</v>
      </c>
      <c r="X44" s="35">
        <v>3076.92</v>
      </c>
      <c r="Y44" s="36">
        <f t="shared" si="35"/>
        <v>-0.219135113186478</v>
      </c>
      <c r="Z44" s="35">
        <v>3023.6</v>
      </c>
      <c r="AA44" s="36">
        <f t="shared" si="36"/>
        <v>-0.11510951383117</v>
      </c>
      <c r="AB44" s="35">
        <v>2872.4</v>
      </c>
      <c r="AC44" s="36">
        <f t="shared" si="37"/>
        <v>-0.0856888209829386</v>
      </c>
      <c r="AD44" s="35">
        <v>2966.4</v>
      </c>
      <c r="AE44" s="36">
        <f t="shared" si="38"/>
        <v>-0.0601951590419465</v>
      </c>
      <c r="AF44" s="35">
        <v>2869.56</v>
      </c>
      <c r="AG44" s="36">
        <f t="shared" si="39"/>
        <v>-0.0910484637313905</v>
      </c>
      <c r="AH44" s="35">
        <v>2728</v>
      </c>
      <c r="AI44" s="36">
        <f t="shared" si="40"/>
        <v>-0.152120940872246</v>
      </c>
      <c r="AJ44" s="35">
        <v>2526.68</v>
      </c>
      <c r="AK44" s="36">
        <f t="shared" si="41"/>
        <v>-0.167705382436261</v>
      </c>
      <c r="AL44" s="35">
        <v>2372.62</v>
      </c>
      <c r="AM44" s="36">
        <f t="shared" si="42"/>
        <v>-0.137517630465444</v>
      </c>
      <c r="AN44" s="35">
        <v>2754.2</v>
      </c>
      <c r="AO44" s="36">
        <f t="shared" si="43"/>
        <v>-0.0212508884150676</v>
      </c>
      <c r="AP44" s="35">
        <v>2416.74</v>
      </c>
      <c r="AQ44" s="36">
        <f t="shared" si="44"/>
        <v>-0.116068293539326</v>
      </c>
      <c r="AR44" s="35">
        <v>2476.61</v>
      </c>
      <c r="AS44" s="36">
        <f t="shared" si="45"/>
        <v>-0.141115719675952</v>
      </c>
      <c r="AT44" s="35">
        <f t="shared" si="46"/>
        <v>33484.17</v>
      </c>
      <c r="AU44" s="36">
        <f t="shared" si="47"/>
        <v>-0.11695255767048</v>
      </c>
      <c r="AV44" s="196"/>
      <c r="AW44" s="35">
        <v>3670.8</v>
      </c>
      <c r="AX44" s="36"/>
      <c r="AY44" s="35">
        <v>3940.4</v>
      </c>
      <c r="AZ44" s="36"/>
      <c r="BA44" s="35">
        <v>3416.92</v>
      </c>
      <c r="BB44" s="36"/>
      <c r="BC44" s="35">
        <v>3141.6</v>
      </c>
      <c r="BD44" s="36"/>
      <c r="BE44" s="199">
        <v>3156.4</v>
      </c>
      <c r="BF44" s="36"/>
      <c r="BG44" s="199">
        <v>3157</v>
      </c>
      <c r="BH44" s="36"/>
      <c r="BI44" s="199">
        <v>3217.44</v>
      </c>
      <c r="BJ44" s="36"/>
      <c r="BK44" s="199">
        <v>3035.8</v>
      </c>
      <c r="BL44" s="36"/>
      <c r="BM44" s="199">
        <v>2750.92</v>
      </c>
      <c r="BN44" s="36"/>
      <c r="BO44" s="199">
        <v>2814</v>
      </c>
      <c r="BP44" s="37"/>
      <c r="BQ44" s="199">
        <v>2734.08</v>
      </c>
      <c r="BR44" s="37"/>
      <c r="BS44" s="199">
        <v>2883.52</v>
      </c>
      <c r="BT44" s="37"/>
      <c r="BU44" s="35">
        <f t="shared" si="48"/>
        <v>37918.88</v>
      </c>
      <c r="BV44" s="36"/>
      <c r="BW44" s="40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4"/>
    </row>
    <row r="45" s="171" customFormat="1" ht="27" customHeight="1" spans="1:88">
      <c r="A45" s="48" t="s">
        <v>102</v>
      </c>
      <c r="B45" s="193" t="s">
        <v>278</v>
      </c>
      <c r="C45" s="35">
        <v>327.22</v>
      </c>
      <c r="D45" s="36">
        <f t="shared" si="25"/>
        <v>-0.273328891849878</v>
      </c>
      <c r="E45" s="35">
        <v>339.87</v>
      </c>
      <c r="F45" s="36">
        <f t="shared" si="26"/>
        <v>-0.237309815537902</v>
      </c>
      <c r="G45" s="35">
        <v>325.1</v>
      </c>
      <c r="H45" s="36">
        <f t="shared" si="27"/>
        <v>-0.220402388431932</v>
      </c>
      <c r="I45" s="35">
        <v>347.03</v>
      </c>
      <c r="J45" s="36">
        <f t="shared" si="28"/>
        <v>-0.155028000973947</v>
      </c>
      <c r="K45" s="35">
        <v>342.77</v>
      </c>
      <c r="L45" s="36">
        <f t="shared" si="29"/>
        <v>-0.077459292154488</v>
      </c>
      <c r="M45" s="35">
        <v>343.92</v>
      </c>
      <c r="N45" s="36">
        <f t="shared" si="30"/>
        <v>-0.142344139650873</v>
      </c>
      <c r="O45" s="35">
        <v>342.4</v>
      </c>
      <c r="P45" s="36">
        <f t="shared" si="31"/>
        <v>-0.0724135128545499</v>
      </c>
      <c r="Q45" s="175"/>
      <c r="R45" s="127"/>
      <c r="S45" s="131">
        <f t="shared" si="32"/>
        <v>2368.31</v>
      </c>
      <c r="T45" s="132">
        <f t="shared" si="33"/>
        <v>-0.267144651908331</v>
      </c>
      <c r="U45" s="35"/>
      <c r="V45" s="35">
        <v>450.3</v>
      </c>
      <c r="W45" s="36">
        <f t="shared" si="34"/>
        <v>-0.170870926164611</v>
      </c>
      <c r="X45" s="35">
        <v>445.62</v>
      </c>
      <c r="Y45" s="36">
        <f t="shared" si="35"/>
        <v>-0.210635395815988</v>
      </c>
      <c r="Z45" s="35">
        <v>417.01</v>
      </c>
      <c r="AA45" s="36">
        <f t="shared" si="36"/>
        <v>-0.2224459734109</v>
      </c>
      <c r="AB45" s="35">
        <v>410.7</v>
      </c>
      <c r="AC45" s="36">
        <f t="shared" si="37"/>
        <v>-0.195652173913044</v>
      </c>
      <c r="AD45" s="35">
        <v>371.55</v>
      </c>
      <c r="AE45" s="36">
        <f t="shared" si="38"/>
        <v>-0.0515877067592403</v>
      </c>
      <c r="AF45" s="35">
        <v>401</v>
      </c>
      <c r="AG45" s="36">
        <f t="shared" si="39"/>
        <v>-0.0775247296986428</v>
      </c>
      <c r="AH45" s="35">
        <v>369.13</v>
      </c>
      <c r="AI45" s="36">
        <f t="shared" si="40"/>
        <v>-0.153546286317045</v>
      </c>
      <c r="AJ45" s="35">
        <v>366.31</v>
      </c>
      <c r="AK45" s="36">
        <f t="shared" si="41"/>
        <v>-0.181045853920276</v>
      </c>
      <c r="AL45" s="35">
        <v>373.21</v>
      </c>
      <c r="AM45" s="36">
        <f t="shared" si="42"/>
        <v>-0.172483370288248</v>
      </c>
      <c r="AN45" s="35">
        <v>373.71</v>
      </c>
      <c r="AO45" s="36">
        <f t="shared" si="43"/>
        <v>-0.211149575716638</v>
      </c>
      <c r="AP45" s="35">
        <v>372.96</v>
      </c>
      <c r="AQ45" s="36">
        <f t="shared" si="44"/>
        <v>-0.137545092960873</v>
      </c>
      <c r="AR45" s="35">
        <v>330.58</v>
      </c>
      <c r="AS45" s="36">
        <f t="shared" si="45"/>
        <v>-0.23655342832729</v>
      </c>
      <c r="AT45" s="35">
        <f t="shared" si="46"/>
        <v>4682.08</v>
      </c>
      <c r="AU45" s="36">
        <f t="shared" si="47"/>
        <v>-0.17198301550781</v>
      </c>
      <c r="AV45" s="194"/>
      <c r="AW45" s="38">
        <v>543.1</v>
      </c>
      <c r="AX45" s="37">
        <f>AW45/BX45-1</f>
        <v>-0.0533049783851623</v>
      </c>
      <c r="AY45" s="38">
        <v>564.53</v>
      </c>
      <c r="AZ45" s="37">
        <f>AY45/BY45-1</f>
        <v>-0.0106379249912374</v>
      </c>
      <c r="BA45" s="38">
        <v>536.31</v>
      </c>
      <c r="BB45" s="37">
        <f>BA45/BZ45-1</f>
        <v>-0.120558188347572</v>
      </c>
      <c r="BC45" s="38">
        <v>510.6</v>
      </c>
      <c r="BD45" s="37">
        <f>BC45/CA45-1</f>
        <v>-0.185918591859186</v>
      </c>
      <c r="BE45" s="200">
        <v>391.76</v>
      </c>
      <c r="BF45" s="37">
        <f>BE45/CB45-1</f>
        <v>-0.397162465761856</v>
      </c>
      <c r="BG45" s="200">
        <v>434.7</v>
      </c>
      <c r="BH45" s="37">
        <f>BG45/CC45-1</f>
        <v>-0.297318267785267</v>
      </c>
      <c r="BI45" s="200">
        <v>436.09</v>
      </c>
      <c r="BJ45" s="37">
        <f>BI45/CD45-1</f>
        <v>-0.277374560880228</v>
      </c>
      <c r="BK45" s="200">
        <v>447.29</v>
      </c>
      <c r="BL45" s="37">
        <f>BK45/CE45-1</f>
        <v>-0.214288223721192</v>
      </c>
      <c r="BM45" s="200">
        <v>451</v>
      </c>
      <c r="BN45" s="37">
        <f>BM45/CF45-1</f>
        <v>-0.210171450587555</v>
      </c>
      <c r="BO45" s="200">
        <v>473.74</v>
      </c>
      <c r="BP45" s="37">
        <f>BO45/CG45-1</f>
        <v>-0.174496410399387</v>
      </c>
      <c r="BQ45" s="200">
        <v>432.44</v>
      </c>
      <c r="BR45" s="37">
        <f>BQ45/CH45-1</f>
        <v>-0.21710478673329</v>
      </c>
      <c r="BS45" s="200">
        <v>433.01</v>
      </c>
      <c r="BT45" s="37">
        <f>BS45/CI45-1</f>
        <v>-0.198485858137124</v>
      </c>
      <c r="BU45" s="38">
        <f t="shared" si="48"/>
        <v>5654.57</v>
      </c>
      <c r="BV45" s="37">
        <f>BU45/CJ45-1</f>
        <v>-0.199076211816897</v>
      </c>
      <c r="BW45" s="39"/>
      <c r="BX45" s="197">
        <v>573.68</v>
      </c>
      <c r="BY45" s="197">
        <v>570.6</v>
      </c>
      <c r="BZ45" s="197">
        <v>609.83</v>
      </c>
      <c r="CA45" s="197">
        <v>627.21</v>
      </c>
      <c r="CB45" s="197">
        <v>649.86</v>
      </c>
      <c r="CC45" s="197">
        <v>618.63</v>
      </c>
      <c r="CD45" s="197">
        <v>603.48</v>
      </c>
      <c r="CE45" s="197">
        <v>569.28</v>
      </c>
      <c r="CF45" s="197">
        <v>571.01</v>
      </c>
      <c r="CG45" s="197">
        <v>573.88</v>
      </c>
      <c r="CH45" s="197">
        <v>552.36</v>
      </c>
      <c r="CI45" s="197">
        <v>540.24</v>
      </c>
      <c r="CJ45" s="38">
        <f>BX45+BY45+BZ45+CA45+CB45+CC45+CD45+CE45+CF45+CG45+CH45+CI45</f>
        <v>7060.06</v>
      </c>
    </row>
    <row r="46" ht="27" customHeight="1" spans="1:88">
      <c r="A46" s="45"/>
      <c r="B46" s="193" t="s">
        <v>279</v>
      </c>
      <c r="C46" s="35">
        <v>1766.99</v>
      </c>
      <c r="D46" s="36">
        <f t="shared" si="25"/>
        <v>-0.367092189436433</v>
      </c>
      <c r="E46" s="35">
        <v>1869.29</v>
      </c>
      <c r="F46" s="36">
        <f t="shared" si="26"/>
        <v>-0.289016263749639</v>
      </c>
      <c r="G46" s="35">
        <v>1755.54</v>
      </c>
      <c r="H46" s="36">
        <f t="shared" si="27"/>
        <v>-0.274168341147578</v>
      </c>
      <c r="I46" s="35">
        <v>1943.37</v>
      </c>
      <c r="J46" s="36">
        <f t="shared" si="28"/>
        <v>-0.18416412684819</v>
      </c>
      <c r="K46" s="35">
        <v>1919.51</v>
      </c>
      <c r="L46" s="36">
        <f t="shared" si="29"/>
        <v>-0.109271968779437</v>
      </c>
      <c r="M46" s="35">
        <v>1925.95</v>
      </c>
      <c r="N46" s="36">
        <f t="shared" si="30"/>
        <v>-0.110580031402974</v>
      </c>
      <c r="O46" s="35">
        <v>1917.44</v>
      </c>
      <c r="P46" s="36">
        <f t="shared" si="31"/>
        <v>0.0185279619241885</v>
      </c>
      <c r="Q46" s="175"/>
      <c r="R46" s="127"/>
      <c r="S46" s="35">
        <f t="shared" si="32"/>
        <v>13098.09</v>
      </c>
      <c r="T46" s="132">
        <f t="shared" si="33"/>
        <v>-0.285409312856325</v>
      </c>
      <c r="U46" s="35"/>
      <c r="V46" s="35">
        <v>2791.86</v>
      </c>
      <c r="W46" s="36">
        <f t="shared" si="34"/>
        <v>-0.143233290370098</v>
      </c>
      <c r="X46" s="35">
        <v>2629.16</v>
      </c>
      <c r="Y46" s="36">
        <f t="shared" si="35"/>
        <v>-0.223790882090707</v>
      </c>
      <c r="Z46" s="35">
        <v>2418.66</v>
      </c>
      <c r="AA46" s="36">
        <f t="shared" si="36"/>
        <v>-0.149090218263182</v>
      </c>
      <c r="AB46" s="35">
        <v>2382.06</v>
      </c>
      <c r="AC46" s="36">
        <f t="shared" si="37"/>
        <v>-0.119770303527482</v>
      </c>
      <c r="AD46" s="35">
        <v>2154.99</v>
      </c>
      <c r="AE46" s="36">
        <f t="shared" si="38"/>
        <v>0.0378841513632227</v>
      </c>
      <c r="AF46" s="35">
        <v>2165.4</v>
      </c>
      <c r="AG46" s="36">
        <f t="shared" si="39"/>
        <v>-0.0601195359193718</v>
      </c>
      <c r="AH46" s="35">
        <v>1882.56</v>
      </c>
      <c r="AI46" s="36">
        <f t="shared" si="40"/>
        <v>-0.169826297477146</v>
      </c>
      <c r="AJ46" s="35">
        <v>1904.81</v>
      </c>
      <c r="AK46" s="36">
        <f t="shared" si="41"/>
        <v>-0.185745491230395</v>
      </c>
      <c r="AL46" s="35">
        <v>1940.69</v>
      </c>
      <c r="AM46" s="36">
        <f t="shared" si="42"/>
        <v>-0.177230967512178</v>
      </c>
      <c r="AN46" s="35">
        <v>2018.03</v>
      </c>
      <c r="AO46" s="36">
        <f t="shared" si="43"/>
        <v>-0.196266558335524</v>
      </c>
      <c r="AP46" s="35">
        <v>1939.39</v>
      </c>
      <c r="AQ46" s="36">
        <f t="shared" si="44"/>
        <v>-0.169490146369873</v>
      </c>
      <c r="AR46" s="35">
        <v>1818.19</v>
      </c>
      <c r="AS46" s="36">
        <f t="shared" si="45"/>
        <v>-0.222414198652839</v>
      </c>
      <c r="AT46" s="35">
        <f t="shared" si="46"/>
        <v>26045.8</v>
      </c>
      <c r="AU46" s="36">
        <f t="shared" si="47"/>
        <v>-0.152282436690836</v>
      </c>
      <c r="AV46" s="196"/>
      <c r="AW46" s="35">
        <v>3258.6</v>
      </c>
      <c r="AX46" s="36"/>
      <c r="AY46" s="35">
        <v>3387.18</v>
      </c>
      <c r="AZ46" s="36"/>
      <c r="BA46" s="35">
        <v>2842.44</v>
      </c>
      <c r="BB46" s="36"/>
      <c r="BC46" s="35">
        <v>2706.18</v>
      </c>
      <c r="BD46" s="36"/>
      <c r="BE46" s="199">
        <v>2076.33</v>
      </c>
      <c r="BF46" s="36"/>
      <c r="BG46" s="199">
        <v>2303.91</v>
      </c>
      <c r="BH46" s="36"/>
      <c r="BI46" s="199">
        <v>2267.67</v>
      </c>
      <c r="BJ46" s="36"/>
      <c r="BK46" s="199">
        <v>2339.33</v>
      </c>
      <c r="BL46" s="36"/>
      <c r="BM46" s="199">
        <v>2358.73</v>
      </c>
      <c r="BN46" s="36"/>
      <c r="BO46" s="199">
        <v>2510.82</v>
      </c>
      <c r="BP46" s="37"/>
      <c r="BQ46" s="199">
        <v>2335.18</v>
      </c>
      <c r="BR46" s="37"/>
      <c r="BS46" s="199">
        <v>2338.25</v>
      </c>
      <c r="BT46" s="37"/>
      <c r="BU46" s="35">
        <f t="shared" si="48"/>
        <v>30724.62</v>
      </c>
      <c r="BV46" s="36"/>
      <c r="BW46" s="40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4"/>
    </row>
    <row r="47" ht="27" customHeight="1" spans="1:88">
      <c r="A47" s="45"/>
      <c r="B47" s="193" t="s">
        <v>280</v>
      </c>
      <c r="C47" s="35">
        <v>301.04</v>
      </c>
      <c r="D47" s="36">
        <f t="shared" si="25"/>
        <v>-0.303615628397603</v>
      </c>
      <c r="E47" s="35">
        <v>312.69</v>
      </c>
      <c r="F47" s="36">
        <f t="shared" si="26"/>
        <v>-0.269074333800842</v>
      </c>
      <c r="G47" s="35">
        <v>299.1</v>
      </c>
      <c r="H47" s="36">
        <f t="shared" si="27"/>
        <v>-0.260586882895355</v>
      </c>
      <c r="I47" s="35">
        <v>319.27</v>
      </c>
      <c r="J47" s="36">
        <f t="shared" si="28"/>
        <v>-0.198579245946082</v>
      </c>
      <c r="K47" s="35">
        <v>312.9</v>
      </c>
      <c r="L47" s="36">
        <f t="shared" si="29"/>
        <v>-0.131798002219756</v>
      </c>
      <c r="M47" s="35">
        <v>314.02</v>
      </c>
      <c r="N47" s="36">
        <f t="shared" si="30"/>
        <v>-0.19268838213744</v>
      </c>
      <c r="O47" s="35">
        <v>312.65</v>
      </c>
      <c r="P47" s="36">
        <f t="shared" si="31"/>
        <v>-0.0806845246846423</v>
      </c>
      <c r="Q47" s="175"/>
      <c r="R47" s="127"/>
      <c r="S47" s="35">
        <f t="shared" si="32"/>
        <v>2171.67</v>
      </c>
      <c r="T47" s="132">
        <f t="shared" si="33"/>
        <v>-0.297066782329484</v>
      </c>
      <c r="U47" s="35"/>
      <c r="V47" s="35">
        <v>432.29</v>
      </c>
      <c r="W47" s="36">
        <f t="shared" si="34"/>
        <v>-0.179403948367502</v>
      </c>
      <c r="X47" s="35">
        <v>427.8</v>
      </c>
      <c r="Y47" s="36">
        <f t="shared" si="35"/>
        <v>-0.226737039982648</v>
      </c>
      <c r="Z47" s="35">
        <v>404.51</v>
      </c>
      <c r="AA47" s="36">
        <f t="shared" si="36"/>
        <v>-0.222425127830533</v>
      </c>
      <c r="AB47" s="35">
        <v>398.38</v>
      </c>
      <c r="AC47" s="36">
        <f t="shared" si="37"/>
        <v>-0.195646906800194</v>
      </c>
      <c r="AD47" s="35">
        <v>360.4</v>
      </c>
      <c r="AE47" s="36">
        <f t="shared" si="38"/>
        <v>-0.0516039051603906</v>
      </c>
      <c r="AF47" s="35">
        <v>388.97</v>
      </c>
      <c r="AG47" s="36">
        <f t="shared" si="39"/>
        <v>-0.0775269174216193</v>
      </c>
      <c r="AH47" s="35">
        <v>340.09</v>
      </c>
      <c r="AI47" s="36">
        <f t="shared" si="40"/>
        <v>-0.196004728132388</v>
      </c>
      <c r="AJ47" s="35">
        <v>337</v>
      </c>
      <c r="AK47" s="36">
        <f t="shared" si="41"/>
        <v>-0.223269642980616</v>
      </c>
      <c r="AL47" s="35">
        <v>343.35</v>
      </c>
      <c r="AM47" s="36">
        <f t="shared" si="42"/>
        <v>-0.215164121788425</v>
      </c>
      <c r="AN47" s="35">
        <v>328.86</v>
      </c>
      <c r="AO47" s="36">
        <f t="shared" si="43"/>
        <v>-0.284355754792941</v>
      </c>
      <c r="AP47" s="35">
        <v>345.36</v>
      </c>
      <c r="AQ47" s="36">
        <f t="shared" si="44"/>
        <v>-0.176675328390588</v>
      </c>
      <c r="AR47" s="35">
        <v>306.78</v>
      </c>
      <c r="AS47" s="36">
        <f t="shared" si="45"/>
        <v>-0.269606209228132</v>
      </c>
      <c r="AT47" s="35">
        <f t="shared" si="46"/>
        <v>4413.79</v>
      </c>
      <c r="AU47" s="36">
        <f t="shared" si="47"/>
        <v>-0.196115893038623</v>
      </c>
      <c r="AV47" s="196"/>
      <c r="AW47" s="35">
        <v>526.8</v>
      </c>
      <c r="AX47" s="36"/>
      <c r="AY47" s="35">
        <v>553.24</v>
      </c>
      <c r="AZ47" s="36"/>
      <c r="BA47" s="35">
        <v>520.22</v>
      </c>
      <c r="BB47" s="36"/>
      <c r="BC47" s="35">
        <v>495.28</v>
      </c>
      <c r="BD47" s="36"/>
      <c r="BE47" s="199">
        <v>380.01</v>
      </c>
      <c r="BF47" s="36"/>
      <c r="BG47" s="199">
        <v>421.66</v>
      </c>
      <c r="BH47" s="36"/>
      <c r="BI47" s="199">
        <v>423</v>
      </c>
      <c r="BJ47" s="36"/>
      <c r="BK47" s="199">
        <v>433.87</v>
      </c>
      <c r="BL47" s="36"/>
      <c r="BM47" s="199">
        <v>437.48</v>
      </c>
      <c r="BN47" s="36"/>
      <c r="BO47" s="199">
        <v>459.53</v>
      </c>
      <c r="BP47" s="37"/>
      <c r="BQ47" s="199">
        <v>419.47</v>
      </c>
      <c r="BR47" s="37"/>
      <c r="BS47" s="199">
        <v>420.02</v>
      </c>
      <c r="BT47" s="37"/>
      <c r="BU47" s="35">
        <f t="shared" si="48"/>
        <v>5490.58</v>
      </c>
      <c r="BV47" s="36"/>
      <c r="BW47" s="40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4"/>
    </row>
    <row r="48" ht="27" customHeight="1" spans="1:88">
      <c r="A48" s="29"/>
      <c r="B48" s="193" t="s">
        <v>276</v>
      </c>
      <c r="C48" s="35">
        <v>1264.37</v>
      </c>
      <c r="D48" s="36">
        <f t="shared" si="25"/>
        <v>-0.458367782313858</v>
      </c>
      <c r="E48" s="35">
        <v>1438.37</v>
      </c>
      <c r="F48" s="36">
        <f t="shared" si="26"/>
        <v>-0.340735546205392</v>
      </c>
      <c r="G48" s="35">
        <v>1345.95</v>
      </c>
      <c r="H48" s="36">
        <f t="shared" si="27"/>
        <v>-0.347576345128454</v>
      </c>
      <c r="I48" s="35">
        <v>1436.72</v>
      </c>
      <c r="J48" s="36">
        <f t="shared" si="28"/>
        <v>-0.292862275684881</v>
      </c>
      <c r="K48" s="35">
        <v>1439.34</v>
      </c>
      <c r="L48" s="36">
        <f t="shared" si="29"/>
        <v>-0.216915845139388</v>
      </c>
      <c r="M48" s="35">
        <v>1444.49</v>
      </c>
      <c r="N48" s="36">
        <f t="shared" si="30"/>
        <v>-0.192688597520763</v>
      </c>
      <c r="O48" s="35">
        <v>1438.19</v>
      </c>
      <c r="P48" s="36">
        <f t="shared" si="31"/>
        <v>-0.0389000267308206</v>
      </c>
      <c r="Q48" s="175"/>
      <c r="R48" s="127"/>
      <c r="S48" s="35">
        <f t="shared" si="32"/>
        <v>9807.43</v>
      </c>
      <c r="T48" s="132">
        <f t="shared" si="33"/>
        <v>-0.355511687615288</v>
      </c>
      <c r="U48" s="35"/>
      <c r="V48" s="35">
        <v>2334.37</v>
      </c>
      <c r="W48" s="36">
        <f t="shared" si="34"/>
        <v>-0.015283050704463</v>
      </c>
      <c r="X48" s="35">
        <v>2181.78</v>
      </c>
      <c r="Y48" s="36">
        <f t="shared" si="35"/>
        <v>-0.142685370741483</v>
      </c>
      <c r="Z48" s="35">
        <v>2063</v>
      </c>
      <c r="AA48" s="36">
        <f t="shared" si="36"/>
        <v>-0.055800670047416</v>
      </c>
      <c r="AB48" s="35">
        <v>2031.74</v>
      </c>
      <c r="AC48" s="36">
        <f t="shared" si="37"/>
        <v>-0.0232864463652183</v>
      </c>
      <c r="AD48" s="35">
        <v>1838.04</v>
      </c>
      <c r="AE48" s="36">
        <f t="shared" si="38"/>
        <v>0.0748457647437208</v>
      </c>
      <c r="AF48" s="35">
        <v>1789.26</v>
      </c>
      <c r="AG48" s="36">
        <f t="shared" si="39"/>
        <v>-0.0570285696216541</v>
      </c>
      <c r="AH48" s="35">
        <v>1496.4</v>
      </c>
      <c r="AI48" s="36">
        <f t="shared" si="40"/>
        <v>-0.199640576361477</v>
      </c>
      <c r="AJ48" s="35">
        <v>1482.8</v>
      </c>
      <c r="AK48" s="36">
        <f t="shared" si="41"/>
        <v>-0.257039783545445</v>
      </c>
      <c r="AL48" s="35">
        <v>1510.74</v>
      </c>
      <c r="AM48" s="36">
        <f t="shared" si="42"/>
        <v>-0.249288166924235</v>
      </c>
      <c r="AN48" s="35">
        <v>1446.98</v>
      </c>
      <c r="AO48" s="36">
        <f t="shared" si="43"/>
        <v>-0.315473261930894</v>
      </c>
      <c r="AP48" s="35">
        <v>1519.58</v>
      </c>
      <c r="AQ48" s="36">
        <f t="shared" si="44"/>
        <v>-0.194975683665145</v>
      </c>
      <c r="AR48" s="35">
        <v>1319.15</v>
      </c>
      <c r="AS48" s="36">
        <f t="shared" si="45"/>
        <v>-0.323127523872563</v>
      </c>
      <c r="AT48" s="35">
        <f t="shared" si="46"/>
        <v>21013.84</v>
      </c>
      <c r="AU48" s="36">
        <f t="shared" si="47"/>
        <v>-0.146345882450437</v>
      </c>
      <c r="AV48" s="196"/>
      <c r="AW48" s="35">
        <v>2370.6</v>
      </c>
      <c r="AX48" s="36"/>
      <c r="AY48" s="35">
        <v>2544.9</v>
      </c>
      <c r="AZ48" s="36"/>
      <c r="BA48" s="35">
        <v>2184.92</v>
      </c>
      <c r="BB48" s="36"/>
      <c r="BC48" s="35">
        <v>2080.18</v>
      </c>
      <c r="BD48" s="36"/>
      <c r="BE48" s="199">
        <v>1710.05</v>
      </c>
      <c r="BF48" s="36"/>
      <c r="BG48" s="199">
        <v>1897.47</v>
      </c>
      <c r="BH48" s="36"/>
      <c r="BI48" s="199">
        <v>1869.66</v>
      </c>
      <c r="BJ48" s="36"/>
      <c r="BK48" s="199">
        <v>1995.8</v>
      </c>
      <c r="BL48" s="36"/>
      <c r="BM48" s="199">
        <v>2012.41</v>
      </c>
      <c r="BN48" s="36"/>
      <c r="BO48" s="199">
        <v>2113.84</v>
      </c>
      <c r="BP48" s="37"/>
      <c r="BQ48" s="199">
        <v>1887.62</v>
      </c>
      <c r="BR48" s="37"/>
      <c r="BS48" s="199">
        <v>1948.89</v>
      </c>
      <c r="BT48" s="37"/>
      <c r="BU48" s="35">
        <f t="shared" si="48"/>
        <v>24616.34</v>
      </c>
      <c r="BV48" s="36"/>
      <c r="BW48" s="40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4"/>
    </row>
    <row r="49" s="171" customFormat="1" ht="27" customHeight="1" spans="1:88">
      <c r="A49" s="48" t="s">
        <v>103</v>
      </c>
      <c r="B49" s="193" t="s">
        <v>278</v>
      </c>
      <c r="C49" s="35">
        <v>226.9</v>
      </c>
      <c r="D49" s="36">
        <f t="shared" si="25"/>
        <v>-0.109252934479645</v>
      </c>
      <c r="E49" s="35">
        <v>244.73</v>
      </c>
      <c r="F49" s="36">
        <f t="shared" si="26"/>
        <v>-0.0157651317112407</v>
      </c>
      <c r="G49" s="35">
        <v>258.3</v>
      </c>
      <c r="H49" s="36">
        <f t="shared" si="27"/>
        <v>0.0788121789249467</v>
      </c>
      <c r="I49" s="35">
        <v>261.62</v>
      </c>
      <c r="J49" s="36">
        <f t="shared" si="28"/>
        <v>0.133928571428571</v>
      </c>
      <c r="K49" s="35">
        <v>263.2</v>
      </c>
      <c r="L49" s="36">
        <f t="shared" si="29"/>
        <v>0.131848284166165</v>
      </c>
      <c r="M49" s="35">
        <v>261.9</v>
      </c>
      <c r="N49" s="36">
        <f t="shared" si="30"/>
        <v>0.145569066573353</v>
      </c>
      <c r="O49" s="35">
        <v>232.19</v>
      </c>
      <c r="P49" s="36">
        <f t="shared" si="31"/>
        <v>0.0192712906057946</v>
      </c>
      <c r="Q49" s="175"/>
      <c r="R49" s="127"/>
      <c r="S49" s="131">
        <f t="shared" si="32"/>
        <v>1748.84</v>
      </c>
      <c r="T49" s="132">
        <f t="shared" si="33"/>
        <v>-0.0738744082103857</v>
      </c>
      <c r="U49" s="35"/>
      <c r="V49" s="35">
        <v>254.73</v>
      </c>
      <c r="W49" s="36">
        <f t="shared" si="34"/>
        <v>-0.0907371051222559</v>
      </c>
      <c r="X49" s="35">
        <v>248.65</v>
      </c>
      <c r="Y49" s="36">
        <f t="shared" si="35"/>
        <v>-0.0714739161283096</v>
      </c>
      <c r="Z49" s="35">
        <v>239.43</v>
      </c>
      <c r="AA49" s="36">
        <f t="shared" si="36"/>
        <v>-0.0866679382033186</v>
      </c>
      <c r="AB49" s="35">
        <v>230.72</v>
      </c>
      <c r="AC49" s="36">
        <f t="shared" si="37"/>
        <v>-0.109120395397328</v>
      </c>
      <c r="AD49" s="35">
        <v>232.54</v>
      </c>
      <c r="AE49" s="36">
        <f t="shared" si="38"/>
        <v>-0.100112224759104</v>
      </c>
      <c r="AF49" s="35">
        <v>228.62</v>
      </c>
      <c r="AG49" s="36">
        <f t="shared" si="39"/>
        <v>-0.0922374429223743</v>
      </c>
      <c r="AH49" s="35">
        <v>227.8</v>
      </c>
      <c r="AI49" s="36">
        <f t="shared" si="40"/>
        <v>-0.109634551495017</v>
      </c>
      <c r="AJ49" s="35">
        <v>225.85</v>
      </c>
      <c r="AK49" s="36">
        <f t="shared" si="41"/>
        <v>-0.110231257140606</v>
      </c>
      <c r="AL49" s="35">
        <v>221.55</v>
      </c>
      <c r="AM49" s="36">
        <f t="shared" si="42"/>
        <v>-0.115144979630961</v>
      </c>
      <c r="AN49" s="35">
        <v>222.03</v>
      </c>
      <c r="AO49" s="36">
        <f t="shared" si="43"/>
        <v>-0.148951665452873</v>
      </c>
      <c r="AP49" s="35">
        <v>210.03</v>
      </c>
      <c r="AQ49" s="36">
        <f t="shared" si="44"/>
        <v>-0.119666359292481</v>
      </c>
      <c r="AR49" s="35">
        <v>220.53</v>
      </c>
      <c r="AS49" s="36">
        <f t="shared" si="45"/>
        <v>-0.135888092159398</v>
      </c>
      <c r="AT49" s="35">
        <f t="shared" si="46"/>
        <v>2762.48</v>
      </c>
      <c r="AU49" s="36">
        <f t="shared" si="47"/>
        <v>-0.10716952105156</v>
      </c>
      <c r="AV49" s="194"/>
      <c r="AW49" s="38">
        <v>280.15</v>
      </c>
      <c r="AX49" s="37">
        <f>AW49/BX49-1</f>
        <v>-0.0256668869335374</v>
      </c>
      <c r="AY49" s="38">
        <v>267.79</v>
      </c>
      <c r="AZ49" s="37">
        <f>AY49/BY49-1</f>
        <v>-0.00364624027979299</v>
      </c>
      <c r="BA49" s="38">
        <v>262.15</v>
      </c>
      <c r="BB49" s="37">
        <f>BA49/BZ49-1</f>
        <v>-0.0936905790838376</v>
      </c>
      <c r="BC49" s="38">
        <v>258.98</v>
      </c>
      <c r="BD49" s="37">
        <f>BC49/CA49-1</f>
        <v>-0.0367477497582385</v>
      </c>
      <c r="BE49" s="200">
        <v>258.41</v>
      </c>
      <c r="BF49" s="37">
        <f>BE49/CB49-1</f>
        <v>-0.0257869934024504</v>
      </c>
      <c r="BG49" s="200">
        <v>251.85</v>
      </c>
      <c r="BH49" s="37">
        <f>BG49/CC49-1</f>
        <v>-0.0576239476145931</v>
      </c>
      <c r="BI49" s="200">
        <v>255.85</v>
      </c>
      <c r="BJ49" s="37">
        <f>BI49/CD49-1</f>
        <v>-0.0621334310850441</v>
      </c>
      <c r="BK49" s="200">
        <v>253.83</v>
      </c>
      <c r="BL49" s="37">
        <f>BK49/CE49-1</f>
        <v>-0.0734778799824791</v>
      </c>
      <c r="BM49" s="200">
        <v>250.38</v>
      </c>
      <c r="BN49" s="37">
        <f>BM49/CF49-1</f>
        <v>-0.0714285714285714</v>
      </c>
      <c r="BO49" s="200">
        <v>260.89</v>
      </c>
      <c r="BP49" s="37">
        <f>BO49/CG49-1</f>
        <v>-0.0738071570576542</v>
      </c>
      <c r="BQ49" s="200">
        <v>238.58</v>
      </c>
      <c r="BR49" s="37">
        <f>BQ49/CH49-1</f>
        <v>-0.0832660902977905</v>
      </c>
      <c r="BS49" s="200">
        <v>255.21</v>
      </c>
      <c r="BT49" s="37">
        <f>BS49/CI49-1</f>
        <v>-0.062933724986231</v>
      </c>
      <c r="BU49" s="38">
        <f t="shared" si="48"/>
        <v>3094.07</v>
      </c>
      <c r="BV49" s="37">
        <f>BU49/CJ49-1</f>
        <v>-0.0559923602402982</v>
      </c>
      <c r="BW49" s="39"/>
      <c r="BX49" s="197">
        <v>287.53</v>
      </c>
      <c r="BY49" s="197">
        <v>268.77</v>
      </c>
      <c r="BZ49" s="197">
        <v>289.25</v>
      </c>
      <c r="CA49" s="197">
        <v>268.86</v>
      </c>
      <c r="CB49" s="197">
        <v>265.25</v>
      </c>
      <c r="CC49" s="197">
        <v>267.25</v>
      </c>
      <c r="CD49" s="197">
        <v>272.8</v>
      </c>
      <c r="CE49" s="197">
        <v>273.96</v>
      </c>
      <c r="CF49" s="197">
        <v>269.64</v>
      </c>
      <c r="CG49" s="197">
        <v>281.68</v>
      </c>
      <c r="CH49" s="197">
        <v>260.25</v>
      </c>
      <c r="CI49" s="197">
        <v>272.35</v>
      </c>
      <c r="CJ49" s="38">
        <f>BX49+BY49+BZ49+CA49+CB49+CC49+CD49+CE49+CF49+CG49+CH49+CI49</f>
        <v>3277.59</v>
      </c>
    </row>
    <row r="50" ht="27" customHeight="1" spans="1:88">
      <c r="A50" s="45"/>
      <c r="B50" s="193" t="s">
        <v>279</v>
      </c>
      <c r="C50" s="35">
        <v>1372.75</v>
      </c>
      <c r="D50" s="36">
        <f t="shared" si="25"/>
        <v>-0.141870350690754</v>
      </c>
      <c r="E50" s="35">
        <v>1321.54</v>
      </c>
      <c r="F50" s="36">
        <f t="shared" si="26"/>
        <v>-0.152337335796388</v>
      </c>
      <c r="G50" s="35">
        <v>1498.14</v>
      </c>
      <c r="H50" s="36">
        <f t="shared" si="27"/>
        <v>0.0359434640703657</v>
      </c>
      <c r="I50" s="35">
        <v>1517.4</v>
      </c>
      <c r="J50" s="36">
        <f t="shared" si="28"/>
        <v>0.0888737397294681</v>
      </c>
      <c r="K50" s="35">
        <v>1547.62</v>
      </c>
      <c r="L50" s="36">
        <f t="shared" si="29"/>
        <v>0.114791177445147</v>
      </c>
      <c r="M50" s="35">
        <v>1542.59</v>
      </c>
      <c r="N50" s="36">
        <f t="shared" si="30"/>
        <v>0.111600322831695</v>
      </c>
      <c r="O50" s="35">
        <v>1325.8</v>
      </c>
      <c r="P50" s="36">
        <f t="shared" si="31"/>
        <v>-0.0612874904415305</v>
      </c>
      <c r="Q50" s="175"/>
      <c r="R50" s="127"/>
      <c r="S50" s="35">
        <f t="shared" si="32"/>
        <v>10125.84</v>
      </c>
      <c r="T50" s="132">
        <f t="shared" si="33"/>
        <v>-0.126107916934926</v>
      </c>
      <c r="U50" s="35"/>
      <c r="V50" s="35">
        <v>1599.7</v>
      </c>
      <c r="W50" s="36">
        <f t="shared" si="34"/>
        <v>-0.248663779742055</v>
      </c>
      <c r="X50" s="35">
        <v>1559.04</v>
      </c>
      <c r="Y50" s="36">
        <f t="shared" si="35"/>
        <v>-0.0548924278153965</v>
      </c>
      <c r="Z50" s="35">
        <v>1446.16</v>
      </c>
      <c r="AA50" s="36">
        <f t="shared" si="36"/>
        <v>-0.104456169032226</v>
      </c>
      <c r="AB50" s="35">
        <v>1393.55</v>
      </c>
      <c r="AC50" s="36">
        <f t="shared" si="37"/>
        <v>-0.13629179708079</v>
      </c>
      <c r="AD50" s="35">
        <v>1388.26</v>
      </c>
      <c r="AE50" s="36">
        <f t="shared" si="38"/>
        <v>-0.137667790967085</v>
      </c>
      <c r="AF50" s="35">
        <v>1387.72</v>
      </c>
      <c r="AG50" s="36">
        <f t="shared" si="39"/>
        <v>-0.116968069536887</v>
      </c>
      <c r="AH50" s="35">
        <v>1412.36</v>
      </c>
      <c r="AI50" s="36">
        <f t="shared" si="40"/>
        <v>-0.113924527118166</v>
      </c>
      <c r="AJ50" s="35">
        <v>1400.27</v>
      </c>
      <c r="AK50" s="36">
        <f t="shared" si="41"/>
        <v>-0.110233518665608</v>
      </c>
      <c r="AL50" s="35">
        <v>1371.39</v>
      </c>
      <c r="AM50" s="36">
        <f t="shared" si="42"/>
        <v>-0.1194136230544</v>
      </c>
      <c r="AN50" s="35">
        <v>1374.37</v>
      </c>
      <c r="AO50" s="36">
        <f t="shared" si="43"/>
        <v>-0.157117800019625</v>
      </c>
      <c r="AP50" s="35">
        <v>1281.18</v>
      </c>
      <c r="AQ50" s="36">
        <f t="shared" si="44"/>
        <v>-0.132467954577772</v>
      </c>
      <c r="AR50" s="35">
        <v>1356.26</v>
      </c>
      <c r="AS50" s="36">
        <f t="shared" si="45"/>
        <v>-0.148350716792987</v>
      </c>
      <c r="AT50" s="35">
        <f t="shared" si="46"/>
        <v>16970.26</v>
      </c>
      <c r="AU50" s="36">
        <f t="shared" si="47"/>
        <v>-0.134761507317195</v>
      </c>
      <c r="AV50" s="196"/>
      <c r="AW50" s="35">
        <v>2129.14</v>
      </c>
      <c r="AX50" s="36"/>
      <c r="AY50" s="35">
        <v>1649.59</v>
      </c>
      <c r="AZ50" s="36"/>
      <c r="BA50" s="35">
        <v>1614.84</v>
      </c>
      <c r="BB50" s="36"/>
      <c r="BC50" s="35">
        <v>1613.45</v>
      </c>
      <c r="BD50" s="36"/>
      <c r="BE50" s="199">
        <v>1609.89</v>
      </c>
      <c r="BF50" s="36"/>
      <c r="BG50" s="199">
        <v>1571.54</v>
      </c>
      <c r="BH50" s="36"/>
      <c r="BI50" s="199">
        <v>1593.95</v>
      </c>
      <c r="BJ50" s="36"/>
      <c r="BK50" s="199">
        <v>1573.75</v>
      </c>
      <c r="BL50" s="36"/>
      <c r="BM50" s="199">
        <v>1557.36</v>
      </c>
      <c r="BN50" s="36"/>
      <c r="BO50" s="199">
        <v>1630.56</v>
      </c>
      <c r="BP50" s="37"/>
      <c r="BQ50" s="199">
        <v>1476.81</v>
      </c>
      <c r="BR50" s="37"/>
      <c r="BS50" s="199">
        <v>1592.51</v>
      </c>
      <c r="BT50" s="37"/>
      <c r="BU50" s="35">
        <f t="shared" si="48"/>
        <v>19613.39</v>
      </c>
      <c r="BV50" s="36"/>
      <c r="BW50" s="40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4"/>
    </row>
    <row r="51" ht="27" customHeight="1" spans="1:88">
      <c r="A51" s="45"/>
      <c r="B51" s="193" t="s">
        <v>280</v>
      </c>
      <c r="C51" s="35">
        <v>179.2</v>
      </c>
      <c r="D51" s="36">
        <f t="shared" si="25"/>
        <v>-0.146951016327891</v>
      </c>
      <c r="E51" s="35">
        <v>196.74</v>
      </c>
      <c r="F51" s="36">
        <f t="shared" si="26"/>
        <v>-0.0464789415014782</v>
      </c>
      <c r="G51" s="35">
        <v>208.77</v>
      </c>
      <c r="H51" s="36">
        <f t="shared" si="27"/>
        <v>0.058564040158199</v>
      </c>
      <c r="I51" s="35">
        <v>214.78</v>
      </c>
      <c r="J51" s="36">
        <f t="shared" si="28"/>
        <v>0.152871712292002</v>
      </c>
      <c r="K51" s="35">
        <v>215.35</v>
      </c>
      <c r="L51" s="36">
        <f t="shared" si="29"/>
        <v>0.162859765646093</v>
      </c>
      <c r="M51" s="35">
        <v>216.52</v>
      </c>
      <c r="N51" s="36">
        <f t="shared" si="30"/>
        <v>0.180460146112747</v>
      </c>
      <c r="O51" s="35">
        <v>187.13</v>
      </c>
      <c r="P51" s="36">
        <f t="shared" si="31"/>
        <v>0.013760225364321</v>
      </c>
      <c r="Q51" s="175"/>
      <c r="R51" s="127"/>
      <c r="S51" s="35">
        <f t="shared" si="32"/>
        <v>1418.49</v>
      </c>
      <c r="T51" s="132">
        <f t="shared" si="33"/>
        <v>-0.0760708144442708</v>
      </c>
      <c r="U51" s="35"/>
      <c r="V51" s="35">
        <v>210.07</v>
      </c>
      <c r="W51" s="36">
        <f t="shared" si="34"/>
        <v>-0.0156044985941893</v>
      </c>
      <c r="X51" s="35">
        <v>206.33</v>
      </c>
      <c r="Y51" s="36">
        <f t="shared" si="35"/>
        <v>-0.107221669334949</v>
      </c>
      <c r="Z51" s="35">
        <v>197.22</v>
      </c>
      <c r="AA51" s="36">
        <f t="shared" si="36"/>
        <v>-0.136892778993435</v>
      </c>
      <c r="AB51" s="35">
        <v>186.3</v>
      </c>
      <c r="AC51" s="36">
        <f t="shared" si="37"/>
        <v>-0.167002012072435</v>
      </c>
      <c r="AD51" s="35">
        <v>185.19</v>
      </c>
      <c r="AE51" s="36">
        <f t="shared" si="38"/>
        <v>-0.169439834955375</v>
      </c>
      <c r="AF51" s="35">
        <v>183.42</v>
      </c>
      <c r="AG51" s="36">
        <f t="shared" si="39"/>
        <v>-0.14229600187047</v>
      </c>
      <c r="AH51" s="35">
        <v>184.59</v>
      </c>
      <c r="AI51" s="36">
        <f t="shared" si="40"/>
        <v>-0.157892335766423</v>
      </c>
      <c r="AJ51" s="35">
        <v>182.16</v>
      </c>
      <c r="AK51" s="36">
        <f t="shared" si="41"/>
        <v>-0.15775846125393</v>
      </c>
      <c r="AL51" s="35">
        <v>178.75</v>
      </c>
      <c r="AM51" s="36">
        <f t="shared" si="42"/>
        <v>-0.155405405405405</v>
      </c>
      <c r="AN51" s="35">
        <v>180.54</v>
      </c>
      <c r="AO51" s="36">
        <f t="shared" si="43"/>
        <v>-0.173881211677496</v>
      </c>
      <c r="AP51" s="35">
        <v>165.52</v>
      </c>
      <c r="AQ51" s="36">
        <f t="shared" si="44"/>
        <v>-0.164799677061257</v>
      </c>
      <c r="AR51" s="35">
        <v>178.55</v>
      </c>
      <c r="AS51" s="36">
        <f t="shared" si="45"/>
        <v>-0.274186991869919</v>
      </c>
      <c r="AT51" s="35">
        <f t="shared" si="46"/>
        <v>2238.64</v>
      </c>
      <c r="AU51" s="36">
        <f t="shared" si="47"/>
        <v>-0.153095349787388</v>
      </c>
      <c r="AV51" s="196"/>
      <c r="AW51" s="35">
        <v>213.4</v>
      </c>
      <c r="AX51" s="36"/>
      <c r="AY51" s="35">
        <v>231.11</v>
      </c>
      <c r="AZ51" s="36"/>
      <c r="BA51" s="35">
        <v>228.5</v>
      </c>
      <c r="BB51" s="36"/>
      <c r="BC51" s="35">
        <v>223.65</v>
      </c>
      <c r="BD51" s="36"/>
      <c r="BE51" s="199">
        <v>222.97</v>
      </c>
      <c r="BF51" s="36"/>
      <c r="BG51" s="199">
        <v>213.85</v>
      </c>
      <c r="BH51" s="36"/>
      <c r="BI51" s="199">
        <v>219.2</v>
      </c>
      <c r="BJ51" s="36"/>
      <c r="BK51" s="199">
        <v>216.28</v>
      </c>
      <c r="BL51" s="36"/>
      <c r="BM51" s="199">
        <v>211.64</v>
      </c>
      <c r="BN51" s="36"/>
      <c r="BO51" s="199">
        <v>218.54</v>
      </c>
      <c r="BP51" s="37"/>
      <c r="BQ51" s="199">
        <v>198.18</v>
      </c>
      <c r="BR51" s="37"/>
      <c r="BS51" s="199">
        <v>246</v>
      </c>
      <c r="BT51" s="37"/>
      <c r="BU51" s="35">
        <f t="shared" si="48"/>
        <v>2643.32</v>
      </c>
      <c r="BV51" s="36"/>
      <c r="BW51" s="40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4"/>
    </row>
    <row r="52" ht="27" customHeight="1" spans="1:88">
      <c r="A52" s="29"/>
      <c r="B52" s="193" t="s">
        <v>276</v>
      </c>
      <c r="C52" s="35">
        <v>806.4</v>
      </c>
      <c r="D52" s="36">
        <f t="shared" si="25"/>
        <v>-0.161850912568079</v>
      </c>
      <c r="E52" s="35">
        <v>767.29</v>
      </c>
      <c r="F52" s="36">
        <f t="shared" si="26"/>
        <v>-0.184480156452607</v>
      </c>
      <c r="G52" s="35">
        <v>939.47</v>
      </c>
      <c r="H52" s="36">
        <f t="shared" si="27"/>
        <v>0.082625580510965</v>
      </c>
      <c r="I52" s="35">
        <v>966.51</v>
      </c>
      <c r="J52" s="36">
        <f t="shared" si="28"/>
        <v>0.17640400204484</v>
      </c>
      <c r="K52" s="35">
        <v>956.15</v>
      </c>
      <c r="L52" s="36">
        <f t="shared" si="29"/>
        <v>0.170762468011118</v>
      </c>
      <c r="M52" s="35">
        <v>989.5</v>
      </c>
      <c r="N52" s="36">
        <f t="shared" si="30"/>
        <v>0.212295704589449</v>
      </c>
      <c r="O52" s="35">
        <v>870.15</v>
      </c>
      <c r="P52" s="36">
        <f t="shared" si="31"/>
        <v>0.0475405099559387</v>
      </c>
      <c r="Q52" s="175"/>
      <c r="R52" s="127"/>
      <c r="S52" s="35">
        <f t="shared" si="32"/>
        <v>6295.47</v>
      </c>
      <c r="T52" s="132">
        <f t="shared" si="33"/>
        <v>-0.0851043731507265</v>
      </c>
      <c r="U52" s="35"/>
      <c r="V52" s="35">
        <v>962.12</v>
      </c>
      <c r="W52" s="36">
        <f t="shared" si="34"/>
        <v>-0.0407385989750544</v>
      </c>
      <c r="X52" s="35">
        <v>940.86</v>
      </c>
      <c r="Y52" s="36">
        <f t="shared" si="35"/>
        <v>-0.170865829477859</v>
      </c>
      <c r="Z52" s="35">
        <v>867.77</v>
      </c>
      <c r="AA52" s="36">
        <f t="shared" si="36"/>
        <v>-0.226545091537872</v>
      </c>
      <c r="AB52" s="35">
        <v>821.58</v>
      </c>
      <c r="AC52" s="36">
        <f t="shared" si="37"/>
        <v>-0.19263765096648</v>
      </c>
      <c r="AD52" s="35">
        <v>816.69</v>
      </c>
      <c r="AE52" s="36">
        <f t="shared" si="38"/>
        <v>-0.193217291658434</v>
      </c>
      <c r="AF52" s="35">
        <v>816.22</v>
      </c>
      <c r="AG52" s="36">
        <f t="shared" si="39"/>
        <v>-0.162988637762008</v>
      </c>
      <c r="AH52" s="35">
        <v>830.66</v>
      </c>
      <c r="AI52" s="36">
        <f t="shared" si="40"/>
        <v>-0.16530843976406</v>
      </c>
      <c r="AJ52" s="35">
        <v>825.18</v>
      </c>
      <c r="AK52" s="36">
        <f t="shared" si="41"/>
        <v>-0.188230433242829</v>
      </c>
      <c r="AL52" s="35">
        <v>807.95</v>
      </c>
      <c r="AM52" s="36">
        <f t="shared" si="42"/>
        <v>-0.191192664224078</v>
      </c>
      <c r="AN52" s="35">
        <v>816.04</v>
      </c>
      <c r="AO52" s="36">
        <f t="shared" si="43"/>
        <v>-0.181126698376382</v>
      </c>
      <c r="AP52" s="35">
        <v>749.81</v>
      </c>
      <c r="AQ52" s="36">
        <f t="shared" si="44"/>
        <v>-0.172102729440862</v>
      </c>
      <c r="AR52" s="35">
        <v>810.62</v>
      </c>
      <c r="AS52" s="36">
        <f t="shared" si="45"/>
        <v>-0.283651466949452</v>
      </c>
      <c r="AT52" s="35">
        <f t="shared" si="46"/>
        <v>10065.5</v>
      </c>
      <c r="AU52" s="36">
        <f t="shared" si="47"/>
        <v>-0.182276302951377</v>
      </c>
      <c r="AV52" s="196"/>
      <c r="AW52" s="35">
        <v>1002.98</v>
      </c>
      <c r="AX52" s="36"/>
      <c r="AY52" s="35">
        <v>1134.75</v>
      </c>
      <c r="AZ52" s="36"/>
      <c r="BA52" s="35">
        <v>1121.94</v>
      </c>
      <c r="BB52" s="36"/>
      <c r="BC52" s="35">
        <v>1017.61</v>
      </c>
      <c r="BD52" s="36"/>
      <c r="BE52" s="199">
        <v>1012.28</v>
      </c>
      <c r="BF52" s="36"/>
      <c r="BG52" s="199">
        <v>975.16</v>
      </c>
      <c r="BH52" s="36"/>
      <c r="BI52" s="199">
        <v>995.17</v>
      </c>
      <c r="BJ52" s="36"/>
      <c r="BK52" s="199">
        <v>1016.52</v>
      </c>
      <c r="BL52" s="36"/>
      <c r="BM52" s="199">
        <v>998.94</v>
      </c>
      <c r="BN52" s="36"/>
      <c r="BO52" s="199">
        <v>996.54</v>
      </c>
      <c r="BP52" s="37"/>
      <c r="BQ52" s="199">
        <v>905.68</v>
      </c>
      <c r="BR52" s="37"/>
      <c r="BS52" s="199">
        <v>1131.6</v>
      </c>
      <c r="BT52" s="37"/>
      <c r="BU52" s="35">
        <f t="shared" si="48"/>
        <v>12309.17</v>
      </c>
      <c r="BV52" s="36"/>
      <c r="BW52" s="40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4"/>
    </row>
    <row r="53" s="171" customFormat="1" ht="27" customHeight="1" spans="1:88">
      <c r="A53" s="48" t="s">
        <v>104</v>
      </c>
      <c r="B53" s="193" t="s">
        <v>278</v>
      </c>
      <c r="C53" s="35">
        <v>157.73</v>
      </c>
      <c r="D53" s="36">
        <f t="shared" si="25"/>
        <v>-0.0549430796884363</v>
      </c>
      <c r="E53" s="35">
        <v>174.34</v>
      </c>
      <c r="F53" s="36">
        <f t="shared" si="26"/>
        <v>0.080642162028141</v>
      </c>
      <c r="G53" s="35">
        <v>169.66</v>
      </c>
      <c r="H53" s="36">
        <f t="shared" si="27"/>
        <v>0.0769328424527105</v>
      </c>
      <c r="I53" s="35">
        <v>174.44</v>
      </c>
      <c r="J53" s="36">
        <f t="shared" si="28"/>
        <v>0.125564588979223</v>
      </c>
      <c r="K53" s="35">
        <v>175.85</v>
      </c>
      <c r="L53" s="36">
        <f t="shared" si="29"/>
        <v>0.0257831184740127</v>
      </c>
      <c r="M53" s="35">
        <v>174.48</v>
      </c>
      <c r="N53" s="36">
        <f t="shared" si="30"/>
        <v>0.0449781397855902</v>
      </c>
      <c r="O53" s="35">
        <v>172.2</v>
      </c>
      <c r="P53" s="36">
        <f t="shared" si="31"/>
        <v>0.0538555691554468</v>
      </c>
      <c r="Q53" s="175"/>
      <c r="R53" s="127"/>
      <c r="S53" s="131">
        <f t="shared" si="32"/>
        <v>1198.7</v>
      </c>
      <c r="T53" s="132">
        <f t="shared" si="33"/>
        <v>-0.082580743915506</v>
      </c>
      <c r="U53" s="35"/>
      <c r="V53" s="35">
        <v>166.9</v>
      </c>
      <c r="W53" s="36">
        <f t="shared" si="34"/>
        <v>0.07739978051772</v>
      </c>
      <c r="X53" s="35">
        <v>161.33</v>
      </c>
      <c r="Y53" s="36">
        <f t="shared" si="35"/>
        <v>-0.059025955088947</v>
      </c>
      <c r="Z53" s="35">
        <v>157.54</v>
      </c>
      <c r="AA53" s="36">
        <f t="shared" si="36"/>
        <v>-0.0166656263653955</v>
      </c>
      <c r="AB53" s="35">
        <v>154.98</v>
      </c>
      <c r="AC53" s="36">
        <f t="shared" si="37"/>
        <v>0.0036914707596658</v>
      </c>
      <c r="AD53" s="35">
        <v>171.43</v>
      </c>
      <c r="AE53" s="36">
        <f t="shared" si="38"/>
        <v>0.0882371611756492</v>
      </c>
      <c r="AF53" s="35">
        <v>166.97</v>
      </c>
      <c r="AG53" s="36">
        <f t="shared" si="39"/>
        <v>-0.0335147024774253</v>
      </c>
      <c r="AH53" s="35">
        <v>163.4</v>
      </c>
      <c r="AI53" s="36">
        <f t="shared" si="40"/>
        <v>0.0643564356435644</v>
      </c>
      <c r="AJ53" s="35">
        <v>164.05</v>
      </c>
      <c r="AK53" s="36">
        <f t="shared" si="41"/>
        <v>0.0548482510288066</v>
      </c>
      <c r="AL53" s="35">
        <v>160.16</v>
      </c>
      <c r="AM53" s="36">
        <f t="shared" si="42"/>
        <v>0.0235827954240428</v>
      </c>
      <c r="AN53" s="35">
        <v>158.77</v>
      </c>
      <c r="AO53" s="36">
        <f t="shared" si="43"/>
        <v>-0.00451438961690387</v>
      </c>
      <c r="AP53" s="35">
        <v>153.47</v>
      </c>
      <c r="AQ53" s="36">
        <f t="shared" si="44"/>
        <v>-0.00846362579144588</v>
      </c>
      <c r="AR53" s="35">
        <v>154.94</v>
      </c>
      <c r="AS53" s="36">
        <f t="shared" si="45"/>
        <v>-0.0102842542318748</v>
      </c>
      <c r="AT53" s="35">
        <f t="shared" si="46"/>
        <v>1933.94</v>
      </c>
      <c r="AU53" s="36">
        <f t="shared" si="47"/>
        <v>0.0138079261899771</v>
      </c>
      <c r="AV53" s="194"/>
      <c r="AW53" s="38">
        <v>154.91</v>
      </c>
      <c r="AX53" s="37">
        <f>AW53/BX53-1</f>
        <v>-0.0608669293725371</v>
      </c>
      <c r="AY53" s="38">
        <v>171.45</v>
      </c>
      <c r="AZ53" s="37">
        <f>AY53/BY53-1</f>
        <v>0.0766767143933684</v>
      </c>
      <c r="BA53" s="38">
        <v>160.21</v>
      </c>
      <c r="BB53" s="37">
        <f>BA53/BZ53-1</f>
        <v>0.0259349385245902</v>
      </c>
      <c r="BC53" s="38">
        <v>154.41</v>
      </c>
      <c r="BD53" s="37">
        <f>BC53/CA53-1</f>
        <v>-0.0299660761402187</v>
      </c>
      <c r="BE53" s="200">
        <v>157.53</v>
      </c>
      <c r="BF53" s="37">
        <f>BE53/CB53-1</f>
        <v>-0.0213096421471174</v>
      </c>
      <c r="BG53" s="200">
        <v>172.76</v>
      </c>
      <c r="BH53" s="37">
        <f>BG53/CC53-1</f>
        <v>0.0755151590611964</v>
      </c>
      <c r="BI53" s="200">
        <v>153.52</v>
      </c>
      <c r="BJ53" s="37">
        <f>BI53/CD53-1</f>
        <v>0.100028661507595</v>
      </c>
      <c r="BK53" s="200">
        <v>155.52</v>
      </c>
      <c r="BL53" s="37">
        <f>BK53/CE53-1</f>
        <v>0.0155413347263944</v>
      </c>
      <c r="BM53" s="200">
        <v>156.47</v>
      </c>
      <c r="BN53" s="37">
        <f>BM53/CF53-1</f>
        <v>0.0261000721358777</v>
      </c>
      <c r="BO53" s="200">
        <v>159.49</v>
      </c>
      <c r="BP53" s="37">
        <f>BO53/CG53-1</f>
        <v>0.0315632882737209</v>
      </c>
      <c r="BQ53" s="200">
        <v>154.78</v>
      </c>
      <c r="BR53" s="37">
        <f>BQ53/CH53-1</f>
        <v>-0.0109904153354633</v>
      </c>
      <c r="BS53" s="200">
        <v>156.55</v>
      </c>
      <c r="BT53" s="37">
        <f>BS53/CI53-1</f>
        <v>-0.0146031346383836</v>
      </c>
      <c r="BU53" s="38">
        <f t="shared" si="48"/>
        <v>1907.6</v>
      </c>
      <c r="BV53" s="37">
        <f>BU53/CJ53-1</f>
        <v>0.0166871858827793</v>
      </c>
      <c r="BW53" s="39"/>
      <c r="BX53" s="197">
        <v>164.95</v>
      </c>
      <c r="BY53" s="197">
        <v>159.24</v>
      </c>
      <c r="BZ53" s="197">
        <v>156.16</v>
      </c>
      <c r="CA53" s="197">
        <v>159.18</v>
      </c>
      <c r="CB53" s="197">
        <v>160.96</v>
      </c>
      <c r="CC53" s="197">
        <v>160.63</v>
      </c>
      <c r="CD53" s="197">
        <v>139.56</v>
      </c>
      <c r="CE53" s="197">
        <v>153.14</v>
      </c>
      <c r="CF53" s="197">
        <v>152.49</v>
      </c>
      <c r="CG53" s="197">
        <v>154.61</v>
      </c>
      <c r="CH53" s="197">
        <v>156.5</v>
      </c>
      <c r="CI53" s="197">
        <v>158.87</v>
      </c>
      <c r="CJ53" s="38">
        <f>BX53+BY53+BZ53+CA53+CB53+CC53+CD53+CE53+CF53+CG53+CH53+CI53</f>
        <v>1876.29</v>
      </c>
    </row>
    <row r="54" ht="27" customHeight="1" spans="1:88">
      <c r="A54" s="45"/>
      <c r="B54" s="193" t="s">
        <v>279</v>
      </c>
      <c r="C54" s="35">
        <v>949.53</v>
      </c>
      <c r="D54" s="36">
        <f t="shared" si="25"/>
        <v>-0.058080707880327</v>
      </c>
      <c r="E54" s="35">
        <v>1049.53</v>
      </c>
      <c r="F54" s="36">
        <f t="shared" si="26"/>
        <v>0.0770706977412436</v>
      </c>
      <c r="G54" s="35">
        <v>1021.35</v>
      </c>
      <c r="H54" s="36">
        <f t="shared" si="27"/>
        <v>0.073365281543603</v>
      </c>
      <c r="I54" s="35">
        <v>1050.13</v>
      </c>
      <c r="J54" s="36">
        <f t="shared" si="28"/>
        <v>0.121837877104521</v>
      </c>
      <c r="K54" s="35">
        <v>1058.62</v>
      </c>
      <c r="L54" s="36">
        <f t="shared" si="29"/>
        <v>0.0223866182492465</v>
      </c>
      <c r="M54" s="35">
        <v>1050.37</v>
      </c>
      <c r="N54" s="36">
        <f t="shared" si="30"/>
        <v>0.041517104610808</v>
      </c>
      <c r="O54" s="35">
        <v>1036.64</v>
      </c>
      <c r="P54" s="36">
        <f t="shared" si="31"/>
        <v>0.050357671185685</v>
      </c>
      <c r="Q54" s="175"/>
      <c r="R54" s="127"/>
      <c r="S54" s="35">
        <f t="shared" si="32"/>
        <v>7216.17</v>
      </c>
      <c r="T54" s="132">
        <f t="shared" si="33"/>
        <v>-0.0856197580548083</v>
      </c>
      <c r="U54" s="35"/>
      <c r="V54" s="35">
        <v>1008.08</v>
      </c>
      <c r="W54" s="36">
        <f t="shared" si="34"/>
        <v>0.0791876759696395</v>
      </c>
      <c r="X54" s="35">
        <v>974.43</v>
      </c>
      <c r="Y54" s="36">
        <f t="shared" si="35"/>
        <v>-0.059030862528487</v>
      </c>
      <c r="Z54" s="35">
        <v>951.54</v>
      </c>
      <c r="AA54" s="36">
        <f t="shared" si="36"/>
        <v>-0.016668905721992</v>
      </c>
      <c r="AB54" s="35">
        <v>936.08</v>
      </c>
      <c r="AC54" s="36">
        <f t="shared" si="37"/>
        <v>0.00368845428032261</v>
      </c>
      <c r="AD54" s="35">
        <v>1035.44</v>
      </c>
      <c r="AE54" s="36">
        <f t="shared" si="38"/>
        <v>0.0882414764367092</v>
      </c>
      <c r="AF54" s="35">
        <v>1008.5</v>
      </c>
      <c r="AG54" s="36">
        <f t="shared" si="39"/>
        <v>-0.0335131819793574</v>
      </c>
      <c r="AH54" s="35">
        <v>986.94</v>
      </c>
      <c r="AI54" s="36">
        <f t="shared" si="40"/>
        <v>0.0643616677091647</v>
      </c>
      <c r="AJ54" s="35">
        <v>990.86</v>
      </c>
      <c r="AK54" s="36">
        <f t="shared" si="41"/>
        <v>0.0548470202482594</v>
      </c>
      <c r="AL54" s="35">
        <v>967.37</v>
      </c>
      <c r="AM54" s="36">
        <f t="shared" si="42"/>
        <v>0.0235853049477293</v>
      </c>
      <c r="AN54" s="35">
        <v>958.97</v>
      </c>
      <c r="AO54" s="36">
        <f t="shared" si="43"/>
        <v>-0.00451563343437278</v>
      </c>
      <c r="AP54" s="35">
        <v>926.96</v>
      </c>
      <c r="AQ54" s="36">
        <f t="shared" si="44"/>
        <v>-0.00846106945350689</v>
      </c>
      <c r="AR54" s="35">
        <v>935.84</v>
      </c>
      <c r="AS54" s="36">
        <f t="shared" si="45"/>
        <v>-0.0102796226574727</v>
      </c>
      <c r="AT54" s="35">
        <f t="shared" si="46"/>
        <v>11681.01</v>
      </c>
      <c r="AU54" s="36">
        <f t="shared" si="47"/>
        <v>0.0139448767226023</v>
      </c>
      <c r="AV54" s="196"/>
      <c r="AW54" s="35">
        <v>934.11</v>
      </c>
      <c r="AX54" s="36"/>
      <c r="AY54" s="35">
        <v>1035.56</v>
      </c>
      <c r="AZ54" s="36"/>
      <c r="BA54" s="35">
        <v>967.67</v>
      </c>
      <c r="BB54" s="36"/>
      <c r="BC54" s="35">
        <v>932.64</v>
      </c>
      <c r="BD54" s="36"/>
      <c r="BE54" s="199">
        <v>951.48</v>
      </c>
      <c r="BF54" s="36"/>
      <c r="BG54" s="199">
        <v>1043.47</v>
      </c>
      <c r="BH54" s="36"/>
      <c r="BI54" s="199">
        <v>927.26</v>
      </c>
      <c r="BJ54" s="36"/>
      <c r="BK54" s="199">
        <v>939.34</v>
      </c>
      <c r="BL54" s="36"/>
      <c r="BM54" s="199">
        <v>945.08</v>
      </c>
      <c r="BN54" s="36"/>
      <c r="BO54" s="199">
        <v>963.32</v>
      </c>
      <c r="BP54" s="37"/>
      <c r="BQ54" s="199">
        <v>934.87</v>
      </c>
      <c r="BR54" s="37"/>
      <c r="BS54" s="199">
        <v>945.56</v>
      </c>
      <c r="BT54" s="37"/>
      <c r="BU54" s="35">
        <f t="shared" si="48"/>
        <v>11520.36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4"/>
    </row>
    <row r="55" ht="27" customHeight="1" spans="1:88">
      <c r="A55" s="45"/>
      <c r="B55" s="193" t="s">
        <v>280</v>
      </c>
      <c r="C55" s="35">
        <v>147.51</v>
      </c>
      <c r="D55" s="36">
        <f t="shared" si="25"/>
        <v>-0.0567208082875048</v>
      </c>
      <c r="E55" s="35">
        <v>163.28</v>
      </c>
      <c r="F55" s="36">
        <f t="shared" si="26"/>
        <v>0.080895008605852</v>
      </c>
      <c r="G55" s="35">
        <v>158.95</v>
      </c>
      <c r="H55" s="36">
        <f t="shared" si="27"/>
        <v>0.0782119115452449</v>
      </c>
      <c r="I55" s="35">
        <v>163.46</v>
      </c>
      <c r="J55" s="36">
        <f t="shared" si="28"/>
        <v>0.12707715645039</v>
      </c>
      <c r="K55" s="35">
        <v>164.76</v>
      </c>
      <c r="L55" s="36">
        <f t="shared" si="29"/>
        <v>0.0248180630714685</v>
      </c>
      <c r="M55" s="35">
        <v>163.48</v>
      </c>
      <c r="N55" s="36">
        <f t="shared" si="30"/>
        <v>0.0445338955977255</v>
      </c>
      <c r="O55" s="35">
        <v>161.33</v>
      </c>
      <c r="P55" s="36">
        <f t="shared" si="31"/>
        <v>0.0538933890776065</v>
      </c>
      <c r="Q55" s="175"/>
      <c r="R55" s="127"/>
      <c r="S55" s="35">
        <f t="shared" si="32"/>
        <v>1122.77</v>
      </c>
      <c r="T55" s="132">
        <f t="shared" si="33"/>
        <v>-0.0826892596284253</v>
      </c>
      <c r="U55" s="35"/>
      <c r="V55" s="35">
        <v>156.38</v>
      </c>
      <c r="W55" s="36">
        <f t="shared" si="34"/>
        <v>0.0630863358259688</v>
      </c>
      <c r="X55" s="35">
        <v>151.06</v>
      </c>
      <c r="Y55" s="36">
        <f t="shared" si="35"/>
        <v>-0.0597535167434333</v>
      </c>
      <c r="Z55" s="35">
        <v>147.42</v>
      </c>
      <c r="AA55" s="36">
        <f t="shared" si="36"/>
        <v>-0.0175929628148741</v>
      </c>
      <c r="AB55" s="35">
        <v>145.03</v>
      </c>
      <c r="AC55" s="36">
        <f t="shared" si="37"/>
        <v>0.00373728285694508</v>
      </c>
      <c r="AD55" s="35">
        <v>160.77</v>
      </c>
      <c r="AE55" s="36">
        <f t="shared" si="38"/>
        <v>0.090631571806526</v>
      </c>
      <c r="AF55" s="35">
        <v>156.51</v>
      </c>
      <c r="AG55" s="36">
        <f t="shared" si="39"/>
        <v>-0.0329337617399902</v>
      </c>
      <c r="AH55" s="35">
        <v>153.08</v>
      </c>
      <c r="AI55" s="36">
        <f t="shared" si="40"/>
        <v>0.0658682634730539</v>
      </c>
      <c r="AJ55" s="35">
        <v>153.73</v>
      </c>
      <c r="AK55" s="36">
        <f t="shared" si="41"/>
        <v>0.0559829646929522</v>
      </c>
      <c r="AL55" s="35">
        <v>150</v>
      </c>
      <c r="AM55" s="36">
        <f t="shared" si="42"/>
        <v>0.023681157442162</v>
      </c>
      <c r="AN55" s="35">
        <v>148.62</v>
      </c>
      <c r="AO55" s="36">
        <f t="shared" si="43"/>
        <v>-0.00495447241564018</v>
      </c>
      <c r="AP55" s="35">
        <v>143.7</v>
      </c>
      <c r="AQ55" s="36">
        <f t="shared" si="44"/>
        <v>-0.00869205298013254</v>
      </c>
      <c r="AR55" s="35">
        <v>145.13</v>
      </c>
      <c r="AS55" s="36">
        <f t="shared" si="45"/>
        <v>-0.00995975168838259</v>
      </c>
      <c r="AT55" s="35">
        <f t="shared" si="46"/>
        <v>1811.43</v>
      </c>
      <c r="AU55" s="36">
        <f t="shared" si="47"/>
        <v>0.0129907169220447</v>
      </c>
      <c r="AV55" s="196"/>
      <c r="AW55" s="35">
        <v>147.1</v>
      </c>
      <c r="AX55" s="36"/>
      <c r="AY55" s="35">
        <v>160.66</v>
      </c>
      <c r="AZ55" s="36"/>
      <c r="BA55" s="35">
        <v>150.06</v>
      </c>
      <c r="BB55" s="36"/>
      <c r="BC55" s="35">
        <v>144.49</v>
      </c>
      <c r="BD55" s="36"/>
      <c r="BE55" s="199">
        <v>147.41</v>
      </c>
      <c r="BF55" s="36"/>
      <c r="BG55" s="199">
        <v>161.84</v>
      </c>
      <c r="BH55" s="36"/>
      <c r="BI55" s="199">
        <v>143.62</v>
      </c>
      <c r="BJ55" s="36"/>
      <c r="BK55" s="199">
        <v>145.58</v>
      </c>
      <c r="BL55" s="36"/>
      <c r="BM55" s="199">
        <v>146.53</v>
      </c>
      <c r="BN55" s="36"/>
      <c r="BO55" s="199">
        <v>149.36</v>
      </c>
      <c r="BP55" s="37"/>
      <c r="BQ55" s="199">
        <v>144.96</v>
      </c>
      <c r="BR55" s="37"/>
      <c r="BS55" s="199">
        <v>146.59</v>
      </c>
      <c r="BT55" s="37"/>
      <c r="BU55" s="35">
        <f t="shared" si="48"/>
        <v>1788.2</v>
      </c>
      <c r="BV55" s="36"/>
      <c r="BW55" s="40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4"/>
    </row>
    <row r="56" ht="27" customHeight="1" spans="1:88">
      <c r="A56" s="29"/>
      <c r="B56" s="193" t="s">
        <v>276</v>
      </c>
      <c r="C56" s="35">
        <v>693.3</v>
      </c>
      <c r="D56" s="36">
        <f t="shared" si="25"/>
        <v>-0.0607091083984773</v>
      </c>
      <c r="E56" s="35">
        <v>767.42</v>
      </c>
      <c r="F56" s="36">
        <f t="shared" si="26"/>
        <v>0.0763253856942496</v>
      </c>
      <c r="G56" s="35">
        <v>747.07</v>
      </c>
      <c r="H56" s="36">
        <f t="shared" si="27"/>
        <v>0.0736541059469402</v>
      </c>
      <c r="I56" s="35">
        <v>768.26</v>
      </c>
      <c r="J56" s="36">
        <f t="shared" si="28"/>
        <v>0.12230110731294</v>
      </c>
      <c r="K56" s="35">
        <v>774.37</v>
      </c>
      <c r="L56" s="36">
        <f t="shared" si="29"/>
        <v>0.0204788951412043</v>
      </c>
      <c r="M56" s="35">
        <v>768.36</v>
      </c>
      <c r="N56" s="36">
        <f t="shared" si="30"/>
        <v>0.0401093769036047</v>
      </c>
      <c r="O56" s="35">
        <v>758.25</v>
      </c>
      <c r="P56" s="36">
        <f t="shared" si="31"/>
        <v>0.0494228693221137</v>
      </c>
      <c r="Q56" s="175"/>
      <c r="R56" s="127"/>
      <c r="S56" s="35">
        <f t="shared" si="32"/>
        <v>5277.03</v>
      </c>
      <c r="T56" s="132">
        <f t="shared" si="33"/>
        <v>-0.0865733800920173</v>
      </c>
      <c r="U56" s="35"/>
      <c r="V56" s="35">
        <v>738.11</v>
      </c>
      <c r="W56" s="36">
        <f t="shared" si="34"/>
        <v>0.110123479071726</v>
      </c>
      <c r="X56" s="35">
        <v>713</v>
      </c>
      <c r="Y56" s="36">
        <f t="shared" si="35"/>
        <v>-0.0597636881527588</v>
      </c>
      <c r="Z56" s="35">
        <v>695.82</v>
      </c>
      <c r="AA56" s="36">
        <f t="shared" si="36"/>
        <v>-0.0175919128028462</v>
      </c>
      <c r="AB56" s="35">
        <v>684.54</v>
      </c>
      <c r="AC56" s="36">
        <f t="shared" si="37"/>
        <v>0.00373905775744499</v>
      </c>
      <c r="AD56" s="35">
        <v>758.83</v>
      </c>
      <c r="AE56" s="36">
        <f t="shared" si="38"/>
        <v>0.0906177239932164</v>
      </c>
      <c r="AF56" s="35">
        <v>738.73</v>
      </c>
      <c r="AG56" s="36">
        <f t="shared" si="39"/>
        <v>-0.0329240194794994</v>
      </c>
      <c r="AH56" s="35">
        <v>722.54</v>
      </c>
      <c r="AI56" s="36">
        <f t="shared" si="40"/>
        <v>0.0658661434746051</v>
      </c>
      <c r="AJ56" s="35">
        <v>725.61</v>
      </c>
      <c r="AK56" s="36">
        <f t="shared" si="41"/>
        <v>0.0559856797741363</v>
      </c>
      <c r="AL56" s="35">
        <v>708</v>
      </c>
      <c r="AM56" s="36">
        <f t="shared" si="42"/>
        <v>0.0236835256354646</v>
      </c>
      <c r="AN56" s="35">
        <v>701.49</v>
      </c>
      <c r="AO56" s="36">
        <f t="shared" si="43"/>
        <v>-0.00495049504950495</v>
      </c>
      <c r="AP56" s="35">
        <v>678.26</v>
      </c>
      <c r="AQ56" s="36">
        <f t="shared" si="44"/>
        <v>-0.00869616053550815</v>
      </c>
      <c r="AR56" s="35">
        <v>685.01</v>
      </c>
      <c r="AS56" s="36">
        <f t="shared" si="45"/>
        <v>-0.00995808642867468</v>
      </c>
      <c r="AT56" s="35">
        <f t="shared" si="46"/>
        <v>8549.94</v>
      </c>
      <c r="AU56" s="36">
        <f t="shared" si="47"/>
        <v>0.0165333472835185</v>
      </c>
      <c r="AV56" s="196"/>
      <c r="AW56" s="35">
        <v>664.89</v>
      </c>
      <c r="AX56" s="36"/>
      <c r="AY56" s="35">
        <v>758.32</v>
      </c>
      <c r="AZ56" s="36"/>
      <c r="BA56" s="35">
        <v>708.28</v>
      </c>
      <c r="BB56" s="36"/>
      <c r="BC56" s="35">
        <v>681.99</v>
      </c>
      <c r="BD56" s="36"/>
      <c r="BE56" s="199">
        <v>695.78</v>
      </c>
      <c r="BF56" s="36"/>
      <c r="BG56" s="199">
        <v>763.88</v>
      </c>
      <c r="BH56" s="36"/>
      <c r="BI56" s="199">
        <v>677.89</v>
      </c>
      <c r="BJ56" s="36"/>
      <c r="BK56" s="199">
        <v>687.14</v>
      </c>
      <c r="BL56" s="36"/>
      <c r="BM56" s="199">
        <v>691.62</v>
      </c>
      <c r="BN56" s="36"/>
      <c r="BO56" s="199">
        <v>704.98</v>
      </c>
      <c r="BP56" s="37"/>
      <c r="BQ56" s="199">
        <v>684.21</v>
      </c>
      <c r="BR56" s="37"/>
      <c r="BS56" s="199">
        <v>691.9</v>
      </c>
      <c r="BT56" s="37"/>
      <c r="BU56" s="35">
        <f t="shared" si="48"/>
        <v>8410.88</v>
      </c>
      <c r="BV56" s="36"/>
      <c r="BW56" s="40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4"/>
    </row>
    <row r="57" s="171" customFormat="1" ht="27" customHeight="1" spans="1:88">
      <c r="A57" s="48" t="s">
        <v>105</v>
      </c>
      <c r="B57" s="193" t="s">
        <v>278</v>
      </c>
      <c r="C57" s="35">
        <v>552.39</v>
      </c>
      <c r="D57" s="36">
        <f t="shared" si="25"/>
        <v>-0.0350760738553986</v>
      </c>
      <c r="E57" s="35">
        <v>564.86</v>
      </c>
      <c r="F57" s="36">
        <f t="shared" si="26"/>
        <v>0.0450307111670245</v>
      </c>
      <c r="G57" s="35">
        <v>505.47</v>
      </c>
      <c r="H57" s="36">
        <f t="shared" si="27"/>
        <v>-0.0486703178815425</v>
      </c>
      <c r="I57" s="35">
        <v>498.46</v>
      </c>
      <c r="J57" s="36">
        <f t="shared" si="28"/>
        <v>-0.051184924336157</v>
      </c>
      <c r="K57" s="35">
        <v>515.69</v>
      </c>
      <c r="L57" s="36">
        <f t="shared" si="29"/>
        <v>-0.0152950162306664</v>
      </c>
      <c r="M57" s="35">
        <v>501.28</v>
      </c>
      <c r="N57" s="36">
        <f t="shared" si="30"/>
        <v>-0.0406858805067555</v>
      </c>
      <c r="O57" s="35">
        <v>512.36</v>
      </c>
      <c r="P57" s="36">
        <f t="shared" si="31"/>
        <v>-0.0487365626334454</v>
      </c>
      <c r="Q57" s="175"/>
      <c r="R57" s="127"/>
      <c r="S57" s="131">
        <f t="shared" si="32"/>
        <v>3650.51</v>
      </c>
      <c r="T57" s="132">
        <f t="shared" si="33"/>
        <v>-0.150858559778184</v>
      </c>
      <c r="U57" s="35"/>
      <c r="V57" s="35">
        <v>572.47</v>
      </c>
      <c r="W57" s="36">
        <f t="shared" si="34"/>
        <v>-0.0319596868288888</v>
      </c>
      <c r="X57" s="35">
        <v>540.52</v>
      </c>
      <c r="Y57" s="36">
        <f t="shared" si="35"/>
        <v>-0.00647011249172846</v>
      </c>
      <c r="Z57" s="35">
        <v>531.33</v>
      </c>
      <c r="AA57" s="36">
        <f t="shared" si="36"/>
        <v>-0.00889759373251253</v>
      </c>
      <c r="AB57" s="35">
        <v>525.35</v>
      </c>
      <c r="AC57" s="36">
        <f t="shared" si="37"/>
        <v>-0.0606168976307554</v>
      </c>
      <c r="AD57" s="35">
        <v>523.7</v>
      </c>
      <c r="AE57" s="36">
        <f t="shared" si="38"/>
        <v>-0.0216152595886188</v>
      </c>
      <c r="AF57" s="35">
        <v>522.54</v>
      </c>
      <c r="AG57" s="36">
        <f t="shared" si="39"/>
        <v>-0.0135357082177041</v>
      </c>
      <c r="AH57" s="35">
        <v>538.61</v>
      </c>
      <c r="AI57" s="36">
        <f t="shared" si="40"/>
        <v>-0.0168300385155979</v>
      </c>
      <c r="AJ57" s="35">
        <v>544.54</v>
      </c>
      <c r="AK57" s="36">
        <f t="shared" si="41"/>
        <v>-0.0245588893864757</v>
      </c>
      <c r="AL57" s="35">
        <v>530.54</v>
      </c>
      <c r="AM57" s="36">
        <f t="shared" si="42"/>
        <v>-0.0192801818954842</v>
      </c>
      <c r="AN57" s="35">
        <v>539.68</v>
      </c>
      <c r="AO57" s="36">
        <f t="shared" si="43"/>
        <v>0.0147031173617116</v>
      </c>
      <c r="AP57" s="35">
        <v>534.19</v>
      </c>
      <c r="AQ57" s="36">
        <f t="shared" si="44"/>
        <v>0.0429731734936938</v>
      </c>
      <c r="AR57" s="35">
        <v>551.75</v>
      </c>
      <c r="AS57" s="36">
        <f t="shared" si="45"/>
        <v>0.0778051258009063</v>
      </c>
      <c r="AT57" s="35">
        <f t="shared" si="46"/>
        <v>6455.22</v>
      </c>
      <c r="AU57" s="36">
        <f t="shared" si="47"/>
        <v>-0.00669821119446057</v>
      </c>
      <c r="AV57" s="194"/>
      <c r="AW57" s="38">
        <v>591.37</v>
      </c>
      <c r="AX57" s="37">
        <f>AW57/BX57-1</f>
        <v>0.133587639932526</v>
      </c>
      <c r="AY57" s="38">
        <v>544.04</v>
      </c>
      <c r="AZ57" s="37">
        <f>AY57/BY57-1</f>
        <v>0.0295987887963665</v>
      </c>
      <c r="BA57" s="38">
        <v>536.1</v>
      </c>
      <c r="BB57" s="37">
        <f>BA57/BZ57-1</f>
        <v>-0.01405083311877</v>
      </c>
      <c r="BC57" s="38">
        <v>559.25</v>
      </c>
      <c r="BD57" s="37">
        <f>BC57/CA57-1</f>
        <v>-0.0158034598666034</v>
      </c>
      <c r="BE57" s="200">
        <v>535.27</v>
      </c>
      <c r="BF57" s="37">
        <f>BE57/CB57-1</f>
        <v>-0.0567098422768527</v>
      </c>
      <c r="BG57" s="200">
        <v>529.71</v>
      </c>
      <c r="BH57" s="37">
        <f>BG57/CC57-1</f>
        <v>-0.0780918235928852</v>
      </c>
      <c r="BI57" s="200">
        <v>547.83</v>
      </c>
      <c r="BJ57" s="37">
        <f>BI57/CD57-1</f>
        <v>-0.0902554053605232</v>
      </c>
      <c r="BK57" s="200">
        <v>558.25</v>
      </c>
      <c r="BL57" s="37">
        <f>BK57/CE57-1</f>
        <v>-0.0740126395408629</v>
      </c>
      <c r="BM57" s="200">
        <v>540.97</v>
      </c>
      <c r="BN57" s="37">
        <f>BM57/CF57-1</f>
        <v>-0.0672609400324149</v>
      </c>
      <c r="BO57" s="200">
        <v>531.86</v>
      </c>
      <c r="BP57" s="37">
        <f>BO57/CG57-1</f>
        <v>-0.0644832195877013</v>
      </c>
      <c r="BQ57" s="200">
        <v>512.18</v>
      </c>
      <c r="BR57" s="37">
        <f>BQ57/CH57-1</f>
        <v>-0.0246977054174998</v>
      </c>
      <c r="BS57" s="200">
        <v>511.92</v>
      </c>
      <c r="BT57" s="37">
        <f>BS57/CI57-1</f>
        <v>-0.0138316316701984</v>
      </c>
      <c r="BU57" s="38">
        <f t="shared" si="48"/>
        <v>6498.75</v>
      </c>
      <c r="BV57" s="37">
        <f>BU57/CJ57-1</f>
        <v>-0.0303094057189924</v>
      </c>
      <c r="BW57" s="39"/>
      <c r="BX57" s="197">
        <v>521.68</v>
      </c>
      <c r="BY57" s="197">
        <v>528.4</v>
      </c>
      <c r="BZ57" s="197">
        <v>543.74</v>
      </c>
      <c r="CA57" s="197">
        <v>568.23</v>
      </c>
      <c r="CB57" s="197">
        <v>567.45</v>
      </c>
      <c r="CC57" s="197">
        <v>574.58</v>
      </c>
      <c r="CD57" s="197">
        <v>602.18</v>
      </c>
      <c r="CE57" s="197">
        <v>602.87</v>
      </c>
      <c r="CF57" s="197">
        <v>579.98</v>
      </c>
      <c r="CG57" s="197">
        <v>568.52</v>
      </c>
      <c r="CH57" s="197">
        <v>525.15</v>
      </c>
      <c r="CI57" s="197">
        <v>519.1</v>
      </c>
      <c r="CJ57" s="38">
        <f>BX57+BY57+BZ57+CA57+CB57+CC57+CD57+CE57+CF57+CG57+CH57+CI57</f>
        <v>6701.88</v>
      </c>
    </row>
    <row r="58" ht="27" customHeight="1" spans="1:88">
      <c r="A58" s="45"/>
      <c r="B58" s="193" t="s">
        <v>279</v>
      </c>
      <c r="C58" s="35">
        <v>3590.54</v>
      </c>
      <c r="D58" s="36">
        <f t="shared" si="25"/>
        <v>-0.0721879118323471</v>
      </c>
      <c r="E58" s="35">
        <v>3671.59</v>
      </c>
      <c r="F58" s="36">
        <f t="shared" si="26"/>
        <v>0.0580524128709505</v>
      </c>
      <c r="G58" s="35">
        <v>3285.56</v>
      </c>
      <c r="H58" s="36">
        <f t="shared" si="27"/>
        <v>-0.0368146719278599</v>
      </c>
      <c r="I58" s="35">
        <v>3239.99</v>
      </c>
      <c r="J58" s="36">
        <f t="shared" si="28"/>
        <v>-0.0393625379882886</v>
      </c>
      <c r="K58" s="35">
        <v>3351.99</v>
      </c>
      <c r="L58" s="36">
        <f t="shared" si="29"/>
        <v>-0.00302187588299163</v>
      </c>
      <c r="M58" s="35">
        <v>3258.32</v>
      </c>
      <c r="N58" s="36">
        <f t="shared" si="30"/>
        <v>-0.028732736957889</v>
      </c>
      <c r="O58" s="35">
        <v>3330.34</v>
      </c>
      <c r="P58" s="36">
        <f t="shared" si="31"/>
        <v>-0.0368838710423728</v>
      </c>
      <c r="Q58" s="175"/>
      <c r="R58" s="127"/>
      <c r="S58" s="35">
        <f t="shared" si="32"/>
        <v>23728.33</v>
      </c>
      <c r="T58" s="132">
        <f t="shared" si="33"/>
        <v>-0.14629773675625</v>
      </c>
      <c r="U58" s="35"/>
      <c r="V58" s="35">
        <v>3869.9</v>
      </c>
      <c r="W58" s="36">
        <f t="shared" si="34"/>
        <v>0.366171725515946</v>
      </c>
      <c r="X58" s="35">
        <v>3470.14</v>
      </c>
      <c r="Y58" s="36">
        <f t="shared" si="35"/>
        <v>0.411165242003042</v>
      </c>
      <c r="Z58" s="35">
        <v>3411.14</v>
      </c>
      <c r="AA58" s="36">
        <f t="shared" si="36"/>
        <v>0.472890174658348</v>
      </c>
      <c r="AB58" s="35">
        <v>3372.75</v>
      </c>
      <c r="AC58" s="36">
        <f t="shared" si="37"/>
        <v>-0.0129557333583064</v>
      </c>
      <c r="AD58" s="35">
        <v>3362.15</v>
      </c>
      <c r="AE58" s="36">
        <f t="shared" si="38"/>
        <v>0.0280232380369974</v>
      </c>
      <c r="AF58" s="35">
        <v>3354.71</v>
      </c>
      <c r="AG58" s="36">
        <f t="shared" si="39"/>
        <v>0.0382145498772912</v>
      </c>
      <c r="AH58" s="35">
        <v>3457.88</v>
      </c>
      <c r="AI58" s="36">
        <f t="shared" si="40"/>
        <v>-0.0214008773171076</v>
      </c>
      <c r="AJ58" s="35">
        <v>3495.95</v>
      </c>
      <c r="AK58" s="36">
        <f t="shared" si="41"/>
        <v>-0.0365647641120754</v>
      </c>
      <c r="AL58" s="35">
        <v>3406.07</v>
      </c>
      <c r="AM58" s="36">
        <f t="shared" si="42"/>
        <v>-0.0313510469782242</v>
      </c>
      <c r="AN58" s="35">
        <v>3464.75</v>
      </c>
      <c r="AO58" s="36">
        <f t="shared" si="43"/>
        <v>0.00221573635629957</v>
      </c>
      <c r="AP58" s="35">
        <v>3498.94</v>
      </c>
      <c r="AQ58" s="36">
        <f t="shared" si="44"/>
        <v>0.0542373596309655</v>
      </c>
      <c r="AR58" s="35">
        <v>3613.96</v>
      </c>
      <c r="AS58" s="36">
        <f t="shared" si="45"/>
        <v>0.0844265738462462</v>
      </c>
      <c r="AT58" s="35">
        <f t="shared" si="46"/>
        <v>41778.34</v>
      </c>
      <c r="AU58" s="36">
        <f t="shared" si="47"/>
        <v>0.0904344893755411</v>
      </c>
      <c r="AV58" s="196"/>
      <c r="AW58" s="35">
        <v>2832.66</v>
      </c>
      <c r="AX58" s="36"/>
      <c r="AY58" s="35">
        <v>2459.06</v>
      </c>
      <c r="AZ58" s="36"/>
      <c r="BA58" s="35">
        <v>2315.95</v>
      </c>
      <c r="BB58" s="36"/>
      <c r="BC58" s="35">
        <v>3417.02</v>
      </c>
      <c r="BD58" s="36"/>
      <c r="BE58" s="199">
        <v>3270.5</v>
      </c>
      <c r="BF58" s="36"/>
      <c r="BG58" s="199">
        <v>3231.23</v>
      </c>
      <c r="BH58" s="36"/>
      <c r="BI58" s="199">
        <v>3533.5</v>
      </c>
      <c r="BJ58" s="36"/>
      <c r="BK58" s="199">
        <v>3628.63</v>
      </c>
      <c r="BL58" s="36"/>
      <c r="BM58" s="199">
        <v>3516.31</v>
      </c>
      <c r="BN58" s="36"/>
      <c r="BO58" s="199">
        <v>3457.09</v>
      </c>
      <c r="BP58" s="37"/>
      <c r="BQ58" s="199">
        <v>3318.93</v>
      </c>
      <c r="BR58" s="37"/>
      <c r="BS58" s="199">
        <v>3332.6</v>
      </c>
      <c r="BT58" s="37"/>
      <c r="BU58" s="35">
        <f t="shared" si="48"/>
        <v>38313.48</v>
      </c>
      <c r="BV58" s="36"/>
      <c r="BW58" s="40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4"/>
    </row>
    <row r="59" ht="27" customHeight="1" spans="1:88">
      <c r="A59" s="45"/>
      <c r="B59" s="193" t="s">
        <v>280</v>
      </c>
      <c r="C59" s="35">
        <v>489.22</v>
      </c>
      <c r="D59" s="36">
        <f t="shared" si="25"/>
        <v>-0.0701537642787904</v>
      </c>
      <c r="E59" s="35">
        <v>492.87</v>
      </c>
      <c r="F59" s="36">
        <f t="shared" si="26"/>
        <v>0.00127986348122855</v>
      </c>
      <c r="G59" s="35">
        <v>448.15</v>
      </c>
      <c r="H59" s="36">
        <f t="shared" si="27"/>
        <v>-0.0968177512646365</v>
      </c>
      <c r="I59" s="35">
        <v>445.82</v>
      </c>
      <c r="J59" s="36">
        <f t="shared" si="28"/>
        <v>-0.0724450732356857</v>
      </c>
      <c r="K59" s="35">
        <v>465.07</v>
      </c>
      <c r="L59" s="36">
        <f t="shared" si="29"/>
        <v>-0.0218730939912087</v>
      </c>
      <c r="M59" s="35">
        <v>447.63</v>
      </c>
      <c r="N59" s="36">
        <f t="shared" si="30"/>
        <v>-0.0632023941569178</v>
      </c>
      <c r="O59" s="35">
        <v>453.08</v>
      </c>
      <c r="P59" s="36">
        <f t="shared" si="31"/>
        <v>-0.0753469387755102</v>
      </c>
      <c r="Q59" s="175"/>
      <c r="R59" s="127"/>
      <c r="S59" s="35">
        <f t="shared" si="32"/>
        <v>3241.84</v>
      </c>
      <c r="T59" s="132">
        <f t="shared" si="33"/>
        <v>-0.175976574414869</v>
      </c>
      <c r="U59" s="35"/>
      <c r="V59" s="35">
        <v>526.13</v>
      </c>
      <c r="W59" s="36">
        <f t="shared" si="34"/>
        <v>-0.06384228038647</v>
      </c>
      <c r="X59" s="35">
        <v>492.24</v>
      </c>
      <c r="Y59" s="36">
        <f t="shared" si="35"/>
        <v>-0.0557633653680151</v>
      </c>
      <c r="Z59" s="35">
        <v>496.19</v>
      </c>
      <c r="AA59" s="36">
        <f t="shared" si="36"/>
        <v>-0.0137544473375604</v>
      </c>
      <c r="AB59" s="35">
        <v>480.64</v>
      </c>
      <c r="AC59" s="36">
        <f t="shared" si="37"/>
        <v>-0.0925499376958804</v>
      </c>
      <c r="AD59" s="35">
        <v>475.47</v>
      </c>
      <c r="AE59" s="36">
        <f t="shared" si="38"/>
        <v>-0.0414684299653254</v>
      </c>
      <c r="AF59" s="35">
        <v>477.83</v>
      </c>
      <c r="AG59" s="36">
        <f t="shared" si="39"/>
        <v>-0.0280303492605928</v>
      </c>
      <c r="AH59" s="35">
        <v>490</v>
      </c>
      <c r="AI59" s="36">
        <f t="shared" si="40"/>
        <v>-0.0370064658137295</v>
      </c>
      <c r="AJ59" s="35">
        <v>495.66</v>
      </c>
      <c r="AK59" s="36">
        <f t="shared" si="41"/>
        <v>-0.0377215632219612</v>
      </c>
      <c r="AL59" s="35">
        <v>472.16</v>
      </c>
      <c r="AM59" s="36">
        <f t="shared" si="42"/>
        <v>-0.0354633109985291</v>
      </c>
      <c r="AN59" s="35">
        <v>480.29</v>
      </c>
      <c r="AO59" s="36">
        <f t="shared" si="43"/>
        <v>0.0255594465322857</v>
      </c>
      <c r="AP59" s="35">
        <v>464.09</v>
      </c>
      <c r="AQ59" s="36">
        <f t="shared" si="44"/>
        <v>0.0393254652542943</v>
      </c>
      <c r="AR59" s="35">
        <v>469.59</v>
      </c>
      <c r="AS59" s="36">
        <f t="shared" si="45"/>
        <v>0.0150005403652869</v>
      </c>
      <c r="AT59" s="35">
        <f t="shared" si="46"/>
        <v>5820.29</v>
      </c>
      <c r="AU59" s="36">
        <f t="shared" si="47"/>
        <v>-0.0290907938372023</v>
      </c>
      <c r="AV59" s="196"/>
      <c r="AW59" s="35">
        <v>562.01</v>
      </c>
      <c r="AX59" s="36"/>
      <c r="AY59" s="35">
        <v>521.31</v>
      </c>
      <c r="AZ59" s="36"/>
      <c r="BA59" s="35">
        <v>503.11</v>
      </c>
      <c r="BB59" s="36"/>
      <c r="BC59" s="35">
        <v>529.66</v>
      </c>
      <c r="BD59" s="36"/>
      <c r="BE59" s="199">
        <v>496.04</v>
      </c>
      <c r="BF59" s="36"/>
      <c r="BG59" s="199">
        <v>491.61</v>
      </c>
      <c r="BH59" s="36"/>
      <c r="BI59" s="199">
        <v>508.83</v>
      </c>
      <c r="BJ59" s="36"/>
      <c r="BK59" s="199">
        <v>515.09</v>
      </c>
      <c r="BL59" s="36"/>
      <c r="BM59" s="199">
        <v>489.52</v>
      </c>
      <c r="BN59" s="36"/>
      <c r="BO59" s="199">
        <v>468.32</v>
      </c>
      <c r="BP59" s="37"/>
      <c r="BQ59" s="199">
        <v>446.53</v>
      </c>
      <c r="BR59" s="37"/>
      <c r="BS59" s="199">
        <v>462.65</v>
      </c>
      <c r="BT59" s="37"/>
      <c r="BU59" s="35">
        <f t="shared" si="48"/>
        <v>5994.68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4"/>
    </row>
    <row r="60" ht="27" customHeight="1" spans="1:88">
      <c r="A60" s="29"/>
      <c r="B60" s="193" t="s">
        <v>276</v>
      </c>
      <c r="C60" s="35">
        <v>2255.3</v>
      </c>
      <c r="D60" s="36">
        <f t="shared" si="25"/>
        <v>-0.112509395130666</v>
      </c>
      <c r="E60" s="35">
        <v>2272.13</v>
      </c>
      <c r="F60" s="36">
        <f t="shared" si="26"/>
        <v>0.00127796653490386</v>
      </c>
      <c r="G60" s="35">
        <v>2065.97</v>
      </c>
      <c r="H60" s="36">
        <f t="shared" si="27"/>
        <v>-0.0968200258804603</v>
      </c>
      <c r="I60" s="35">
        <v>2055.23</v>
      </c>
      <c r="J60" s="36">
        <f t="shared" si="28"/>
        <v>-0.0724449960509985</v>
      </c>
      <c r="K60" s="35">
        <v>2143.97</v>
      </c>
      <c r="L60" s="36">
        <f t="shared" si="29"/>
        <v>-0.0218757983868025</v>
      </c>
      <c r="M60" s="35">
        <v>2063.57</v>
      </c>
      <c r="N60" s="36">
        <f t="shared" si="30"/>
        <v>-0.0632059197385146</v>
      </c>
      <c r="O60" s="35">
        <v>2088.7</v>
      </c>
      <c r="P60" s="36">
        <f t="shared" si="31"/>
        <v>-0.0753464075434948</v>
      </c>
      <c r="Q60" s="175"/>
      <c r="R60" s="127"/>
      <c r="S60" s="35">
        <f t="shared" si="32"/>
        <v>14944.87</v>
      </c>
      <c r="T60" s="132">
        <f t="shared" si="33"/>
        <v>-0.181203512555171</v>
      </c>
      <c r="U60" s="35"/>
      <c r="V60" s="35">
        <v>2541.21</v>
      </c>
      <c r="W60" s="36">
        <f t="shared" si="34"/>
        <v>0.29932661482061</v>
      </c>
      <c r="X60" s="35">
        <v>2269.23</v>
      </c>
      <c r="Y60" s="36">
        <f t="shared" si="35"/>
        <v>0.347659799385924</v>
      </c>
      <c r="Z60" s="35">
        <v>2287.44</v>
      </c>
      <c r="AA60" s="36">
        <f t="shared" si="36"/>
        <v>0.457246607632032</v>
      </c>
      <c r="AB60" s="35">
        <v>2215.75</v>
      </c>
      <c r="AC60" s="36">
        <f t="shared" si="37"/>
        <v>-0.119297743542047</v>
      </c>
      <c r="AD60" s="35">
        <v>2191.92</v>
      </c>
      <c r="AE60" s="36">
        <f t="shared" si="38"/>
        <v>-0.0697184862001791</v>
      </c>
      <c r="AF60" s="35">
        <v>2202.8</v>
      </c>
      <c r="AG60" s="36">
        <f t="shared" si="39"/>
        <v>-0.0684417078286756</v>
      </c>
      <c r="AH60" s="35">
        <v>2258.9</v>
      </c>
      <c r="AI60" s="36">
        <f t="shared" si="40"/>
        <v>0.051991840764509</v>
      </c>
      <c r="AJ60" s="35">
        <v>2284.99</v>
      </c>
      <c r="AK60" s="36">
        <f t="shared" si="41"/>
        <v>0.0487233974197161</v>
      </c>
      <c r="AL60" s="35">
        <v>2176.66</v>
      </c>
      <c r="AM60" s="36">
        <f t="shared" si="42"/>
        <v>0.0511863309943157</v>
      </c>
      <c r="AN60" s="35">
        <v>2214.14</v>
      </c>
      <c r="AO60" s="36">
        <f t="shared" si="43"/>
        <v>0.117693678413318</v>
      </c>
      <c r="AP60" s="35">
        <v>2139.45</v>
      </c>
      <c r="AQ60" s="36">
        <f t="shared" si="44"/>
        <v>0.140778381491178</v>
      </c>
      <c r="AR60" s="35">
        <v>2164.81</v>
      </c>
      <c r="AS60" s="36">
        <f t="shared" si="45"/>
        <v>0.100978507420178</v>
      </c>
      <c r="AT60" s="35">
        <f t="shared" si="46"/>
        <v>26947.3</v>
      </c>
      <c r="AU60" s="36">
        <f t="shared" si="47"/>
        <v>0.0925106667293727</v>
      </c>
      <c r="AV60" s="196"/>
      <c r="AW60" s="35">
        <v>1955.79</v>
      </c>
      <c r="AX60" s="36"/>
      <c r="AY60" s="35">
        <v>1683.83</v>
      </c>
      <c r="AZ60" s="36"/>
      <c r="BA60" s="35">
        <v>1569.7</v>
      </c>
      <c r="BB60" s="36"/>
      <c r="BC60" s="35">
        <v>2515.89</v>
      </c>
      <c r="BD60" s="36"/>
      <c r="BE60" s="199">
        <v>2356.19</v>
      </c>
      <c r="BF60" s="36"/>
      <c r="BG60" s="199">
        <v>2364.64</v>
      </c>
      <c r="BH60" s="36"/>
      <c r="BI60" s="199">
        <v>2147.26</v>
      </c>
      <c r="BJ60" s="36"/>
      <c r="BK60" s="199">
        <v>2178.83</v>
      </c>
      <c r="BL60" s="36"/>
      <c r="BM60" s="199">
        <v>2070.67</v>
      </c>
      <c r="BN60" s="36"/>
      <c r="BO60" s="199">
        <v>1980.99</v>
      </c>
      <c r="BP60" s="37"/>
      <c r="BQ60" s="199">
        <v>1875.43</v>
      </c>
      <c r="BR60" s="37"/>
      <c r="BS60" s="199">
        <v>1966.26</v>
      </c>
      <c r="BT60" s="37"/>
      <c r="BU60" s="35">
        <f t="shared" si="48"/>
        <v>24665.48</v>
      </c>
      <c r="BV60" s="36"/>
      <c r="BW60" s="40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4"/>
    </row>
    <row r="61" s="171" customFormat="1" ht="27" customHeight="1" spans="1:88">
      <c r="A61" s="48" t="s">
        <v>106</v>
      </c>
      <c r="B61" s="193" t="s">
        <v>278</v>
      </c>
      <c r="C61" s="35">
        <v>71.64</v>
      </c>
      <c r="D61" s="36">
        <f t="shared" si="25"/>
        <v>0.119375</v>
      </c>
      <c r="E61" s="35">
        <v>73.06</v>
      </c>
      <c r="F61" s="36">
        <f t="shared" si="26"/>
        <v>0.0744117647058824</v>
      </c>
      <c r="G61" s="35">
        <v>71.54</v>
      </c>
      <c r="H61" s="36">
        <f t="shared" si="27"/>
        <v>-0.00638888888888878</v>
      </c>
      <c r="I61" s="35">
        <v>66.1</v>
      </c>
      <c r="J61" s="36">
        <f t="shared" si="28"/>
        <v>0.139655172413793</v>
      </c>
      <c r="K61" s="35">
        <v>63.96</v>
      </c>
      <c r="L61" s="36">
        <f t="shared" si="29"/>
        <v>0.142142857142857</v>
      </c>
      <c r="M61" s="35">
        <v>65.2</v>
      </c>
      <c r="N61" s="36">
        <f t="shared" si="30"/>
        <v>0.124137931034483</v>
      </c>
      <c r="O61" s="35">
        <v>66.84</v>
      </c>
      <c r="P61" s="36">
        <f t="shared" si="31"/>
        <v>0.0780645161290323</v>
      </c>
      <c r="Q61" s="175"/>
      <c r="R61" s="127"/>
      <c r="S61" s="131">
        <f t="shared" si="32"/>
        <v>478.34</v>
      </c>
      <c r="T61" s="132">
        <f t="shared" si="33"/>
        <v>-0.0471314741035856</v>
      </c>
      <c r="U61" s="35"/>
      <c r="V61" s="35">
        <v>64</v>
      </c>
      <c r="W61" s="36">
        <f t="shared" si="34"/>
        <v>-0.302071973827699</v>
      </c>
      <c r="X61" s="35">
        <v>68</v>
      </c>
      <c r="Y61" s="36">
        <f t="shared" si="35"/>
        <v>-0.151061173533084</v>
      </c>
      <c r="Z61" s="35">
        <v>72</v>
      </c>
      <c r="AA61" s="36">
        <f t="shared" si="36"/>
        <v>-0.025974025974026</v>
      </c>
      <c r="AB61" s="35">
        <v>58</v>
      </c>
      <c r="AC61" s="36">
        <f t="shared" si="37"/>
        <v>-0.130043497825109</v>
      </c>
      <c r="AD61" s="35">
        <v>56</v>
      </c>
      <c r="AE61" s="36">
        <f t="shared" si="38"/>
        <v>-0.0967741935483871</v>
      </c>
      <c r="AF61" s="35">
        <v>58</v>
      </c>
      <c r="AG61" s="36">
        <f t="shared" si="39"/>
        <v>-0.0678238508518161</v>
      </c>
      <c r="AH61" s="35">
        <v>62</v>
      </c>
      <c r="AI61" s="36">
        <f t="shared" si="40"/>
        <v>-0.0666867379196148</v>
      </c>
      <c r="AJ61" s="35">
        <v>64</v>
      </c>
      <c r="AK61" s="36">
        <f t="shared" si="41"/>
        <v>-0.129014697876973</v>
      </c>
      <c r="AL61" s="35">
        <v>65.6</v>
      </c>
      <c r="AM61" s="36">
        <f t="shared" si="42"/>
        <v>-0.0124943549601085</v>
      </c>
      <c r="AN61" s="35">
        <v>65.8</v>
      </c>
      <c r="AO61" s="36">
        <f t="shared" si="43"/>
        <v>-0.0994936362392226</v>
      </c>
      <c r="AP61" s="35">
        <v>64.4</v>
      </c>
      <c r="AQ61" s="36">
        <f t="shared" si="44"/>
        <v>0.00625000000000009</v>
      </c>
      <c r="AR61" s="35">
        <v>63.2</v>
      </c>
      <c r="AS61" s="36">
        <f t="shared" si="45"/>
        <v>0.0193548387096774</v>
      </c>
      <c r="AT61" s="35">
        <f t="shared" si="46"/>
        <v>761</v>
      </c>
      <c r="AU61" s="36">
        <f t="shared" si="47"/>
        <v>-0.096220992375478</v>
      </c>
      <c r="AV61" s="194"/>
      <c r="AW61" s="38">
        <v>91.7</v>
      </c>
      <c r="AX61" s="37">
        <f>AW61/BX61-1</f>
        <v>-0.118269230769231</v>
      </c>
      <c r="AY61" s="38">
        <v>80.1</v>
      </c>
      <c r="AZ61" s="37">
        <f>AY61/BY61-1</f>
        <v>-0.265137614678899</v>
      </c>
      <c r="BA61" s="38">
        <v>73.92</v>
      </c>
      <c r="BB61" s="37">
        <f>BA61/BZ61-1</f>
        <v>-0.399024390243902</v>
      </c>
      <c r="BC61" s="38">
        <v>66.67</v>
      </c>
      <c r="BD61" s="37">
        <f>BC61/CA61-1</f>
        <v>-0.45172697368421</v>
      </c>
      <c r="BE61" s="200">
        <v>62</v>
      </c>
      <c r="BF61" s="37">
        <f>BE61/CB61-1</f>
        <v>-0.457567804024497</v>
      </c>
      <c r="BG61" s="200">
        <v>62.22</v>
      </c>
      <c r="BH61" s="37">
        <f>BG61/CC61-1</f>
        <v>-0.410236966824645</v>
      </c>
      <c r="BI61" s="200">
        <v>66.43</v>
      </c>
      <c r="BJ61" s="37">
        <f>BI61/CD61-1</f>
        <v>-0.331017119838872</v>
      </c>
      <c r="BK61" s="200">
        <v>73.48</v>
      </c>
      <c r="BL61" s="37">
        <f>BK61/CE61-1</f>
        <v>-0.254766734279919</v>
      </c>
      <c r="BM61" s="200">
        <v>66.43</v>
      </c>
      <c r="BN61" s="37">
        <f>BM61/CF61-1</f>
        <v>-0.376829268292683</v>
      </c>
      <c r="BO61" s="200">
        <v>73.07</v>
      </c>
      <c r="BP61" s="37">
        <f>BO61/CG61-1</f>
        <v>-0.31901211556384</v>
      </c>
      <c r="BQ61" s="200">
        <v>64</v>
      </c>
      <c r="BR61" s="37">
        <f>BQ61/CH61-1</f>
        <v>-0.354838709677419</v>
      </c>
      <c r="BS61" s="200">
        <v>62</v>
      </c>
      <c r="BT61" s="37">
        <f>BS61/CI61-1</f>
        <v>-0.333333333333333</v>
      </c>
      <c r="BU61" s="38">
        <f t="shared" si="48"/>
        <v>842.02</v>
      </c>
      <c r="BV61" s="37">
        <f>BU61/CJ61-1</f>
        <v>-0.342890588418917</v>
      </c>
      <c r="BW61" s="39"/>
      <c r="BX61" s="197">
        <v>104</v>
      </c>
      <c r="BY61" s="197">
        <v>109</v>
      </c>
      <c r="BZ61" s="197">
        <v>123</v>
      </c>
      <c r="CA61" s="197">
        <v>121.6</v>
      </c>
      <c r="CB61" s="197">
        <v>114.3</v>
      </c>
      <c r="CC61" s="197">
        <v>105.5</v>
      </c>
      <c r="CD61" s="197">
        <v>99.3</v>
      </c>
      <c r="CE61" s="197">
        <v>98.6</v>
      </c>
      <c r="CF61" s="197">
        <v>106.6</v>
      </c>
      <c r="CG61" s="197">
        <v>107.3</v>
      </c>
      <c r="CH61" s="197">
        <v>99.2</v>
      </c>
      <c r="CI61" s="197">
        <v>93</v>
      </c>
      <c r="CJ61" s="38">
        <f>BX61+BY61+BZ61+CA61+CB61+CC61+CD61+CE61+CF61+CG61+CH61+CI61</f>
        <v>1281.4</v>
      </c>
    </row>
    <row r="62" ht="27" customHeight="1" spans="1:88">
      <c r="A62" s="45"/>
      <c r="B62" s="193" t="s">
        <v>279</v>
      </c>
      <c r="C62" s="35">
        <v>351.04</v>
      </c>
      <c r="D62" s="36">
        <f t="shared" si="25"/>
        <v>0.443421052631579</v>
      </c>
      <c r="E62" s="35">
        <v>460.28</v>
      </c>
      <c r="F62" s="36">
        <f t="shared" si="26"/>
        <v>0.781269349845201</v>
      </c>
      <c r="G62" s="35">
        <v>441.4</v>
      </c>
      <c r="H62" s="36">
        <f t="shared" si="27"/>
        <v>0.613304093567251</v>
      </c>
      <c r="I62" s="35">
        <v>393.3</v>
      </c>
      <c r="J62" s="36">
        <f t="shared" si="28"/>
        <v>0.78448275862069</v>
      </c>
      <c r="K62" s="35">
        <v>385.68</v>
      </c>
      <c r="L62" s="36">
        <f t="shared" si="29"/>
        <v>0.812406015037594</v>
      </c>
      <c r="M62" s="35">
        <v>394.46</v>
      </c>
      <c r="N62" s="36">
        <f t="shared" si="30"/>
        <v>0.789745916515426</v>
      </c>
      <c r="O62" s="35">
        <v>407.72</v>
      </c>
      <c r="P62" s="36">
        <f t="shared" si="31"/>
        <v>0.730560271646859</v>
      </c>
      <c r="Q62" s="175"/>
      <c r="R62" s="127"/>
      <c r="S62" s="35">
        <f t="shared" si="32"/>
        <v>2833.88</v>
      </c>
      <c r="T62" s="132">
        <f t="shared" si="33"/>
        <v>0.485573495491717</v>
      </c>
      <c r="U62" s="35"/>
      <c r="V62" s="35">
        <v>243.2</v>
      </c>
      <c r="W62" s="36">
        <f t="shared" si="34"/>
        <v>-0.48997567318178</v>
      </c>
      <c r="X62" s="35">
        <v>258.4</v>
      </c>
      <c r="Y62" s="36">
        <f t="shared" si="35"/>
        <v>-0.379621626812638</v>
      </c>
      <c r="Z62" s="35">
        <v>273.6</v>
      </c>
      <c r="AA62" s="36">
        <f t="shared" si="36"/>
        <v>-0.0259878960484157</v>
      </c>
      <c r="AB62" s="35">
        <v>220.4</v>
      </c>
      <c r="AC62" s="36">
        <f t="shared" si="37"/>
        <v>-0.130057233076771</v>
      </c>
      <c r="AD62" s="35">
        <v>212.8</v>
      </c>
      <c r="AE62" s="36">
        <f t="shared" si="38"/>
        <v>-0.096774193548387</v>
      </c>
      <c r="AF62" s="35">
        <v>220.4</v>
      </c>
      <c r="AG62" s="36">
        <f t="shared" si="39"/>
        <v>-0.0678396210455083</v>
      </c>
      <c r="AH62" s="35">
        <v>235.6</v>
      </c>
      <c r="AI62" s="36">
        <f t="shared" si="40"/>
        <v>-0.0666719486590343</v>
      </c>
      <c r="AJ62" s="35">
        <v>243.2</v>
      </c>
      <c r="AK62" s="36">
        <f t="shared" si="41"/>
        <v>-0.129002220471313</v>
      </c>
      <c r="AL62" s="35">
        <v>249.28</v>
      </c>
      <c r="AM62" s="36">
        <f t="shared" si="42"/>
        <v>-0.0124787069682685</v>
      </c>
      <c r="AN62" s="35">
        <v>250.04</v>
      </c>
      <c r="AO62" s="36">
        <f t="shared" si="43"/>
        <v>-0.099506608564123</v>
      </c>
      <c r="AP62" s="35">
        <v>244.72</v>
      </c>
      <c r="AQ62" s="36">
        <f t="shared" si="44"/>
        <v>0.00625000000000009</v>
      </c>
      <c r="AR62" s="35">
        <v>240.16</v>
      </c>
      <c r="AS62" s="36">
        <f t="shared" si="45"/>
        <v>0.0193548387096774</v>
      </c>
      <c r="AT62" s="35">
        <f t="shared" si="46"/>
        <v>2891.8</v>
      </c>
      <c r="AU62" s="36">
        <f t="shared" si="47"/>
        <v>-0.159409336666473</v>
      </c>
      <c r="AV62" s="196"/>
      <c r="AW62" s="35">
        <v>476.84</v>
      </c>
      <c r="AX62" s="36"/>
      <c r="AY62" s="35">
        <v>416.52</v>
      </c>
      <c r="AZ62" s="36"/>
      <c r="BA62" s="35">
        <v>280.9</v>
      </c>
      <c r="BB62" s="36"/>
      <c r="BC62" s="35">
        <v>253.35</v>
      </c>
      <c r="BD62" s="36"/>
      <c r="BE62" s="199">
        <v>235.6</v>
      </c>
      <c r="BF62" s="36"/>
      <c r="BG62" s="199">
        <v>236.44</v>
      </c>
      <c r="BH62" s="36"/>
      <c r="BI62" s="199">
        <v>252.43</v>
      </c>
      <c r="BJ62" s="36"/>
      <c r="BK62" s="199">
        <v>279.22</v>
      </c>
      <c r="BL62" s="36"/>
      <c r="BM62" s="199">
        <v>252.43</v>
      </c>
      <c r="BN62" s="36"/>
      <c r="BO62" s="199">
        <v>277.67</v>
      </c>
      <c r="BP62" s="37"/>
      <c r="BQ62" s="199">
        <v>243.2</v>
      </c>
      <c r="BR62" s="37"/>
      <c r="BS62" s="199">
        <v>235.6</v>
      </c>
      <c r="BT62" s="37"/>
      <c r="BU62" s="35">
        <f t="shared" si="48"/>
        <v>3440.2</v>
      </c>
      <c r="BV62" s="36"/>
      <c r="BW62" s="40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4"/>
    </row>
    <row r="63" ht="26.7" customHeight="1" spans="1:88">
      <c r="A63" s="45"/>
      <c r="B63" s="193" t="s">
        <v>280</v>
      </c>
      <c r="C63" s="35">
        <v>64.67</v>
      </c>
      <c r="D63" s="36">
        <f t="shared" si="25"/>
        <v>0.115</v>
      </c>
      <c r="E63" s="35">
        <v>65.76</v>
      </c>
      <c r="F63" s="36">
        <f t="shared" si="26"/>
        <v>0.0960000000000001</v>
      </c>
      <c r="G63" s="35">
        <v>64.39</v>
      </c>
      <c r="H63" s="36">
        <f t="shared" si="27"/>
        <v>0.00609375000000001</v>
      </c>
      <c r="I63" s="35">
        <v>59.48</v>
      </c>
      <c r="J63" s="36">
        <f t="shared" si="28"/>
        <v>0.143846153846154</v>
      </c>
      <c r="K63" s="35">
        <v>57.56</v>
      </c>
      <c r="L63" s="36">
        <f t="shared" si="29"/>
        <v>0.1512</v>
      </c>
      <c r="M63" s="35">
        <v>58.72</v>
      </c>
      <c r="N63" s="36">
        <f t="shared" si="30"/>
        <v>0.129230769230769</v>
      </c>
      <c r="O63" s="35">
        <v>60.16</v>
      </c>
      <c r="P63" s="36">
        <f t="shared" si="31"/>
        <v>0.0781362007168458</v>
      </c>
      <c r="Q63" s="175"/>
      <c r="R63" s="127"/>
      <c r="S63" s="35">
        <f t="shared" si="32"/>
        <v>430.74</v>
      </c>
      <c r="T63" s="132">
        <f t="shared" si="33"/>
        <v>-0.0415220293724967</v>
      </c>
      <c r="U63" s="35"/>
      <c r="V63" s="35">
        <v>58</v>
      </c>
      <c r="W63" s="36">
        <f t="shared" si="34"/>
        <v>-0.285714285714286</v>
      </c>
      <c r="X63" s="35">
        <v>60</v>
      </c>
      <c r="Y63" s="36">
        <f t="shared" si="35"/>
        <v>-0.160839160839161</v>
      </c>
      <c r="Z63" s="35">
        <v>64</v>
      </c>
      <c r="AA63" s="36">
        <f t="shared" si="36"/>
        <v>-0.0414856971693874</v>
      </c>
      <c r="AB63" s="35">
        <v>52</v>
      </c>
      <c r="AC63" s="36">
        <f t="shared" si="37"/>
        <v>-0.133333333333333</v>
      </c>
      <c r="AD63" s="35">
        <v>50</v>
      </c>
      <c r="AE63" s="36">
        <f t="shared" si="38"/>
        <v>-0.100557654254362</v>
      </c>
      <c r="AF63" s="35">
        <v>52</v>
      </c>
      <c r="AG63" s="36">
        <f t="shared" si="39"/>
        <v>-0.0640748740100793</v>
      </c>
      <c r="AH63" s="35">
        <v>55.8</v>
      </c>
      <c r="AI63" s="36">
        <f t="shared" si="40"/>
        <v>-0.0667335674862017</v>
      </c>
      <c r="AJ63" s="35">
        <v>57.6</v>
      </c>
      <c r="AK63" s="36">
        <f t="shared" si="41"/>
        <v>-0.135005256044451</v>
      </c>
      <c r="AL63" s="35">
        <v>59</v>
      </c>
      <c r="AM63" s="36">
        <f t="shared" si="42"/>
        <v>-0.0166666666666667</v>
      </c>
      <c r="AN63" s="35">
        <v>59.3</v>
      </c>
      <c r="AO63" s="36">
        <f t="shared" si="43"/>
        <v>-0.0921616656460502</v>
      </c>
      <c r="AP63" s="35">
        <v>58</v>
      </c>
      <c r="AQ63" s="36">
        <f t="shared" si="44"/>
        <v>0</v>
      </c>
      <c r="AR63" s="35">
        <v>56.9</v>
      </c>
      <c r="AS63" s="36">
        <f t="shared" si="45"/>
        <v>0.0160714285714285</v>
      </c>
      <c r="AT63" s="35">
        <f t="shared" si="46"/>
        <v>682.6</v>
      </c>
      <c r="AU63" s="36">
        <f t="shared" si="47"/>
        <v>-0.0974719695367039</v>
      </c>
      <c r="AV63" s="196"/>
      <c r="AW63" s="35">
        <v>81.2</v>
      </c>
      <c r="AX63" s="36"/>
      <c r="AY63" s="35">
        <v>71.5</v>
      </c>
      <c r="AZ63" s="36"/>
      <c r="BA63" s="35">
        <v>66.77</v>
      </c>
      <c r="BB63" s="36"/>
      <c r="BC63" s="35">
        <v>60</v>
      </c>
      <c r="BD63" s="36"/>
      <c r="BE63" s="199">
        <v>55.59</v>
      </c>
      <c r="BF63" s="36"/>
      <c r="BG63" s="199">
        <v>55.56</v>
      </c>
      <c r="BH63" s="36"/>
      <c r="BI63" s="199">
        <v>59.79</v>
      </c>
      <c r="BJ63" s="36"/>
      <c r="BK63" s="199">
        <v>66.59</v>
      </c>
      <c r="BL63" s="36"/>
      <c r="BM63" s="199">
        <v>60</v>
      </c>
      <c r="BN63" s="36"/>
      <c r="BO63" s="199">
        <v>65.32</v>
      </c>
      <c r="BP63" s="37"/>
      <c r="BQ63" s="199">
        <v>58</v>
      </c>
      <c r="BR63" s="37"/>
      <c r="BS63" s="199">
        <v>56</v>
      </c>
      <c r="BT63" s="37"/>
      <c r="BU63" s="35">
        <f t="shared" si="48"/>
        <v>756.32</v>
      </c>
      <c r="BV63" s="36"/>
      <c r="BW63" s="40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4"/>
    </row>
    <row r="64" ht="27" customHeight="1" spans="1:88">
      <c r="A64" s="29"/>
      <c r="B64" s="193" t="s">
        <v>276</v>
      </c>
      <c r="C64" s="35">
        <v>261.27</v>
      </c>
      <c r="D64" s="36">
        <f t="shared" si="25"/>
        <v>0.324898580121704</v>
      </c>
      <c r="E64" s="35">
        <v>361.68</v>
      </c>
      <c r="F64" s="36">
        <f t="shared" si="26"/>
        <v>0.772941176470588</v>
      </c>
      <c r="G64" s="35">
        <v>347.06</v>
      </c>
      <c r="H64" s="36">
        <f t="shared" si="27"/>
        <v>0.594944852941176</v>
      </c>
      <c r="I64" s="35">
        <v>314.65</v>
      </c>
      <c r="J64" s="36">
        <f t="shared" si="28"/>
        <v>0.779694570135746</v>
      </c>
      <c r="K64" s="35">
        <v>309.67</v>
      </c>
      <c r="L64" s="36">
        <f t="shared" si="29"/>
        <v>0.821588235294118</v>
      </c>
      <c r="M64" s="35">
        <v>316.5</v>
      </c>
      <c r="N64" s="36">
        <f t="shared" si="30"/>
        <v>0.790158371040724</v>
      </c>
      <c r="O64" s="35">
        <v>326.07</v>
      </c>
      <c r="P64" s="36">
        <f t="shared" si="31"/>
        <v>0.718690702087287</v>
      </c>
      <c r="Q64" s="175"/>
      <c r="R64" s="127"/>
      <c r="S64" s="35">
        <f t="shared" si="32"/>
        <v>2236.9</v>
      </c>
      <c r="T64" s="132">
        <f t="shared" si="33"/>
        <v>0.46397811461033</v>
      </c>
      <c r="U64" s="35"/>
      <c r="V64" s="35">
        <v>197.2</v>
      </c>
      <c r="W64" s="36">
        <f t="shared" si="34"/>
        <v>-0.483282674772036</v>
      </c>
      <c r="X64" s="35">
        <v>204</v>
      </c>
      <c r="Y64" s="36">
        <f t="shared" si="35"/>
        <v>-0.392947478053861</v>
      </c>
      <c r="Z64" s="35">
        <v>217.6</v>
      </c>
      <c r="AA64" s="36">
        <f t="shared" si="36"/>
        <v>-0.0414941414853317</v>
      </c>
      <c r="AB64" s="35">
        <v>176.8</v>
      </c>
      <c r="AC64" s="36">
        <f t="shared" si="37"/>
        <v>-0.133333333333333</v>
      </c>
      <c r="AD64" s="35">
        <v>170</v>
      </c>
      <c r="AE64" s="36">
        <f t="shared" si="38"/>
        <v>-0.100576689064071</v>
      </c>
      <c r="AF64" s="35">
        <v>176.8</v>
      </c>
      <c r="AG64" s="36">
        <f t="shared" si="39"/>
        <v>-0.0640550555849656</v>
      </c>
      <c r="AH64" s="35">
        <v>189.72</v>
      </c>
      <c r="AI64" s="36">
        <f t="shared" si="40"/>
        <v>-0.0667519307393378</v>
      </c>
      <c r="AJ64" s="35">
        <v>195.84</v>
      </c>
      <c r="AK64" s="36">
        <f t="shared" si="41"/>
        <v>-0.135020537962104</v>
      </c>
      <c r="AL64" s="35">
        <v>200.6</v>
      </c>
      <c r="AM64" s="36">
        <f t="shared" si="42"/>
        <v>-0.0166666666666667</v>
      </c>
      <c r="AN64" s="35">
        <v>201.62</v>
      </c>
      <c r="AO64" s="36">
        <f t="shared" si="43"/>
        <v>-0.092169841055428</v>
      </c>
      <c r="AP64" s="35">
        <v>197.2</v>
      </c>
      <c r="AQ64" s="36">
        <f t="shared" si="44"/>
        <v>0</v>
      </c>
      <c r="AR64" s="35">
        <v>193.46</v>
      </c>
      <c r="AS64" s="36">
        <f t="shared" si="45"/>
        <v>0.0160714285714285</v>
      </c>
      <c r="AT64" s="35">
        <f t="shared" si="46"/>
        <v>2320.84</v>
      </c>
      <c r="AU64" s="36">
        <f t="shared" si="47"/>
        <v>-0.162154649261194</v>
      </c>
      <c r="AV64" s="196"/>
      <c r="AW64" s="35">
        <v>381.64</v>
      </c>
      <c r="AX64" s="36"/>
      <c r="AY64" s="35">
        <v>336.05</v>
      </c>
      <c r="AZ64" s="36"/>
      <c r="BA64" s="35">
        <v>227.02</v>
      </c>
      <c r="BB64" s="36"/>
      <c r="BC64" s="35">
        <v>204</v>
      </c>
      <c r="BD64" s="36"/>
      <c r="BE64" s="199">
        <v>189.01</v>
      </c>
      <c r="BF64" s="36"/>
      <c r="BG64" s="199">
        <v>188.9</v>
      </c>
      <c r="BH64" s="36"/>
      <c r="BI64" s="199">
        <v>203.29</v>
      </c>
      <c r="BJ64" s="36"/>
      <c r="BK64" s="199">
        <v>226.41</v>
      </c>
      <c r="BL64" s="36"/>
      <c r="BM64" s="199">
        <v>204</v>
      </c>
      <c r="BN64" s="36"/>
      <c r="BO64" s="199">
        <v>222.09</v>
      </c>
      <c r="BP64" s="37"/>
      <c r="BQ64" s="199">
        <v>197.2</v>
      </c>
      <c r="BR64" s="37"/>
      <c r="BS64" s="199">
        <v>190.4</v>
      </c>
      <c r="BT64" s="37"/>
      <c r="BU64" s="35">
        <f t="shared" si="48"/>
        <v>2770.01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4"/>
    </row>
    <row r="65" s="169" customFormat="1" ht="27" customHeight="1" spans="1:88">
      <c r="A65" s="48" t="s">
        <v>108</v>
      </c>
      <c r="B65" s="193" t="s">
        <v>278</v>
      </c>
      <c r="C65" s="35">
        <v>99.21</v>
      </c>
      <c r="D65" s="36">
        <f t="shared" si="25"/>
        <v>-0.0873045078196873</v>
      </c>
      <c r="E65" s="35">
        <v>97.64</v>
      </c>
      <c r="F65" s="36">
        <f t="shared" si="26"/>
        <v>-0.0575289575289575</v>
      </c>
      <c r="G65" s="35">
        <v>91.46</v>
      </c>
      <c r="H65" s="36">
        <f t="shared" si="27"/>
        <v>-0.0714720812182742</v>
      </c>
      <c r="I65" s="35">
        <v>90.32</v>
      </c>
      <c r="J65" s="36">
        <f t="shared" si="28"/>
        <v>-0.0823003454582403</v>
      </c>
      <c r="K65" s="35">
        <v>105.7</v>
      </c>
      <c r="L65" s="36">
        <f t="shared" si="29"/>
        <v>-0.121655309955127</v>
      </c>
      <c r="M65" s="35">
        <v>89.52</v>
      </c>
      <c r="N65" s="36">
        <f t="shared" si="30"/>
        <v>-0.0415417558886511</v>
      </c>
      <c r="O65" s="35">
        <v>90.21</v>
      </c>
      <c r="P65" s="36">
        <f t="shared" si="31"/>
        <v>-0.0573667711598747</v>
      </c>
      <c r="Q65" s="175"/>
      <c r="R65" s="127"/>
      <c r="S65" s="131">
        <f t="shared" si="32"/>
        <v>664.06</v>
      </c>
      <c r="T65" s="132">
        <f t="shared" si="33"/>
        <v>-0.178915871210248</v>
      </c>
      <c r="U65" s="35"/>
      <c r="V65" s="35">
        <v>108.7</v>
      </c>
      <c r="W65" s="36">
        <f t="shared" si="34"/>
        <v>0.00184331797235027</v>
      </c>
      <c r="X65" s="35">
        <v>103.6</v>
      </c>
      <c r="Y65" s="36">
        <f t="shared" si="35"/>
        <v>-0.0281425891181989</v>
      </c>
      <c r="Z65" s="35">
        <v>98.5</v>
      </c>
      <c r="AA65" s="36">
        <f t="shared" si="36"/>
        <v>0.0568669527896994</v>
      </c>
      <c r="AB65" s="35">
        <v>98.42</v>
      </c>
      <c r="AC65" s="36">
        <f t="shared" si="37"/>
        <v>0.00122075279755851</v>
      </c>
      <c r="AD65" s="35">
        <v>120.34</v>
      </c>
      <c r="AE65" s="36">
        <f t="shared" si="38"/>
        <v>-0.0349639133921411</v>
      </c>
      <c r="AF65" s="35">
        <v>93.4</v>
      </c>
      <c r="AG65" s="36">
        <f t="shared" si="39"/>
        <v>0.00863930885529163</v>
      </c>
      <c r="AH65" s="35">
        <v>95.7</v>
      </c>
      <c r="AI65" s="36">
        <f t="shared" si="40"/>
        <v>0.0010460251046025</v>
      </c>
      <c r="AJ65" s="35">
        <v>90.1</v>
      </c>
      <c r="AK65" s="36">
        <f t="shared" si="41"/>
        <v>0.0538011695906433</v>
      </c>
      <c r="AL65" s="35">
        <v>85.54</v>
      </c>
      <c r="AM65" s="36">
        <f t="shared" si="42"/>
        <v>0.0123076923076924</v>
      </c>
      <c r="AN65" s="35">
        <v>92.72</v>
      </c>
      <c r="AO65" s="36">
        <f t="shared" si="43"/>
        <v>-0.0690763052208835</v>
      </c>
      <c r="AP65" s="35">
        <v>87.23</v>
      </c>
      <c r="AQ65" s="36">
        <f t="shared" si="44"/>
        <v>-0.0165727170236752</v>
      </c>
      <c r="AR65" s="35">
        <v>84.89</v>
      </c>
      <c r="AS65" s="36">
        <f t="shared" si="45"/>
        <v>-0.0493840985442329</v>
      </c>
      <c r="AT65" s="35">
        <f t="shared" si="46"/>
        <v>1159.14</v>
      </c>
      <c r="AU65" s="36">
        <f t="shared" si="47"/>
        <v>-0.00682032387970188</v>
      </c>
      <c r="AV65" s="194"/>
      <c r="AW65" s="38">
        <v>108.5</v>
      </c>
      <c r="AX65" s="37">
        <f>AW65/BX65-1</f>
        <v>-0.0943238731218697</v>
      </c>
      <c r="AY65" s="38">
        <v>106.6</v>
      </c>
      <c r="AZ65" s="37">
        <f>AY65/BY65-1</f>
        <v>-0.0507569011576136</v>
      </c>
      <c r="BA65" s="38">
        <v>93.2</v>
      </c>
      <c r="BB65" s="37">
        <f>BA65/BZ65-1</f>
        <v>-0.0547667342799187</v>
      </c>
      <c r="BC65" s="38">
        <v>98.3</v>
      </c>
      <c r="BD65" s="37">
        <f>BC65/CA65-1</f>
        <v>0.0380147835269271</v>
      </c>
      <c r="BE65" s="200">
        <v>124.7</v>
      </c>
      <c r="BF65" s="37">
        <f>BE65/CB65-1</f>
        <v>0.0929009640666083</v>
      </c>
      <c r="BG65" s="200">
        <v>92.6</v>
      </c>
      <c r="BH65" s="37">
        <f>BG65/CC65-1</f>
        <v>0.0546697038724373</v>
      </c>
      <c r="BI65" s="200">
        <v>95.6</v>
      </c>
      <c r="BJ65" s="37">
        <f>BI65/CD65-1</f>
        <v>0.0402611534276387</v>
      </c>
      <c r="BK65" s="200">
        <v>85.5</v>
      </c>
      <c r="BL65" s="37">
        <f>BK65/CE65-1</f>
        <v>0.11328125</v>
      </c>
      <c r="BM65" s="200">
        <v>84.5</v>
      </c>
      <c r="BN65" s="37">
        <f>BM65/CF65-1</f>
        <v>0.0355392156862746</v>
      </c>
      <c r="BO65" s="200">
        <v>99.6</v>
      </c>
      <c r="BP65" s="37">
        <f>BO65/CG65-1</f>
        <v>0.0364203954214359</v>
      </c>
      <c r="BQ65" s="200">
        <v>88.7</v>
      </c>
      <c r="BR65" s="37">
        <f>BQ65/CH65-1</f>
        <v>0.0484633569739954</v>
      </c>
      <c r="BS65" s="200">
        <v>89.3</v>
      </c>
      <c r="BT65" s="37">
        <f>BS65/CI65-1</f>
        <v>0.0432242990654206</v>
      </c>
      <c r="BU65" s="38">
        <f t="shared" si="48"/>
        <v>1167.1</v>
      </c>
      <c r="BV65" s="37">
        <f>BU65/CJ65-1</f>
        <v>0.0202814931375122</v>
      </c>
      <c r="BW65" s="39"/>
      <c r="BX65" s="197">
        <v>119.8</v>
      </c>
      <c r="BY65" s="197">
        <v>112.3</v>
      </c>
      <c r="BZ65" s="197">
        <v>98.6</v>
      </c>
      <c r="CA65" s="197">
        <v>94.7</v>
      </c>
      <c r="CB65" s="197">
        <v>114.1</v>
      </c>
      <c r="CC65" s="197">
        <v>87.8</v>
      </c>
      <c r="CD65" s="197">
        <v>91.9</v>
      </c>
      <c r="CE65" s="197">
        <v>76.8</v>
      </c>
      <c r="CF65" s="197">
        <v>81.6</v>
      </c>
      <c r="CG65" s="197">
        <v>96.1</v>
      </c>
      <c r="CH65" s="197">
        <v>84.6</v>
      </c>
      <c r="CI65" s="197">
        <v>85.6</v>
      </c>
      <c r="CJ65" s="38">
        <f>BX65+BY65+BZ65+CA65+CB65+CC65+CD65+CE65+CF65+CG65+CH65+CI65</f>
        <v>1143.9</v>
      </c>
    </row>
    <row r="66" s="170" customFormat="1" ht="27" customHeight="1" spans="1:88">
      <c r="A66" s="45"/>
      <c r="B66" s="193" t="s">
        <v>279</v>
      </c>
      <c r="C66" s="35">
        <v>483.15</v>
      </c>
      <c r="D66" s="36">
        <f t="shared" si="25"/>
        <v>-0.233654791739365</v>
      </c>
      <c r="E66" s="35">
        <v>475.51</v>
      </c>
      <c r="F66" s="36">
        <f t="shared" si="26"/>
        <v>-0.208643988816403</v>
      </c>
      <c r="G66" s="35">
        <v>445.41</v>
      </c>
      <c r="H66" s="36">
        <f t="shared" si="27"/>
        <v>-0.220357080343077</v>
      </c>
      <c r="I66" s="35">
        <v>439.86</v>
      </c>
      <c r="J66" s="36">
        <f t="shared" si="28"/>
        <v>-0.229451334874921</v>
      </c>
      <c r="K66" s="35">
        <v>514.76</v>
      </c>
      <c r="L66" s="36">
        <f t="shared" si="29"/>
        <v>-0.262489791824864</v>
      </c>
      <c r="M66" s="35">
        <v>435.96</v>
      </c>
      <c r="N66" s="36">
        <f t="shared" si="30"/>
        <v>-0.195230008122277</v>
      </c>
      <c r="O66" s="35">
        <v>439.32</v>
      </c>
      <c r="P66" s="36">
        <f t="shared" si="31"/>
        <v>-0.208517998054264</v>
      </c>
      <c r="Q66" s="175"/>
      <c r="R66" s="127"/>
      <c r="S66" s="35">
        <f t="shared" si="32"/>
        <v>3233.97</v>
      </c>
      <c r="T66" s="132">
        <f t="shared" si="33"/>
        <v>-0.301720452396067</v>
      </c>
      <c r="U66" s="35"/>
      <c r="V66" s="35">
        <v>630.46</v>
      </c>
      <c r="W66" s="36">
        <f t="shared" si="34"/>
        <v>0.00184331797235027</v>
      </c>
      <c r="X66" s="35">
        <v>600.88</v>
      </c>
      <c r="Y66" s="36">
        <f t="shared" si="35"/>
        <v>-0.0281425891181989</v>
      </c>
      <c r="Z66" s="35">
        <v>571.3</v>
      </c>
      <c r="AA66" s="36">
        <f t="shared" si="36"/>
        <v>0.0568669527896997</v>
      </c>
      <c r="AB66" s="35">
        <v>570.84</v>
      </c>
      <c r="AC66" s="36">
        <f t="shared" si="37"/>
        <v>0.00122776861823426</v>
      </c>
      <c r="AD66" s="35">
        <v>697.97</v>
      </c>
      <c r="AE66" s="36">
        <f t="shared" si="38"/>
        <v>-0.0349666786494482</v>
      </c>
      <c r="AF66" s="35">
        <v>541.72</v>
      </c>
      <c r="AG66" s="36">
        <f t="shared" si="39"/>
        <v>0.00863930885529163</v>
      </c>
      <c r="AH66" s="35">
        <v>555.06</v>
      </c>
      <c r="AI66" s="36">
        <f t="shared" si="40"/>
        <v>0.00104602510460228</v>
      </c>
      <c r="AJ66" s="35">
        <v>463.11</v>
      </c>
      <c r="AK66" s="36">
        <f t="shared" si="41"/>
        <v>-0.0661222020568663</v>
      </c>
      <c r="AL66" s="35">
        <v>439.68</v>
      </c>
      <c r="AM66" s="36">
        <f t="shared" si="42"/>
        <v>-0.102876963884922</v>
      </c>
      <c r="AN66" s="35">
        <v>476.58</v>
      </c>
      <c r="AO66" s="36">
        <f t="shared" si="43"/>
        <v>-0.175010386373079</v>
      </c>
      <c r="AP66" s="35">
        <v>448.36</v>
      </c>
      <c r="AQ66" s="36">
        <f t="shared" si="44"/>
        <v>-0.128484235897835</v>
      </c>
      <c r="AR66" s="35">
        <v>436.33</v>
      </c>
      <c r="AS66" s="36">
        <f t="shared" si="45"/>
        <v>-0.157566513495772</v>
      </c>
      <c r="AT66" s="35">
        <f t="shared" si="46"/>
        <v>6432.29</v>
      </c>
      <c r="AU66" s="36">
        <f t="shared" si="47"/>
        <v>-0.0497682141706973</v>
      </c>
      <c r="AV66" s="196"/>
      <c r="AW66" s="35">
        <v>629.3</v>
      </c>
      <c r="AX66" s="36"/>
      <c r="AY66" s="35">
        <v>618.28</v>
      </c>
      <c r="AZ66" s="36"/>
      <c r="BA66" s="35">
        <v>540.56</v>
      </c>
      <c r="BB66" s="36"/>
      <c r="BC66" s="35">
        <v>570.14</v>
      </c>
      <c r="BD66" s="36"/>
      <c r="BE66" s="199">
        <v>723.26</v>
      </c>
      <c r="BF66" s="36"/>
      <c r="BG66" s="199">
        <v>537.08</v>
      </c>
      <c r="BH66" s="36"/>
      <c r="BI66" s="199">
        <v>554.48</v>
      </c>
      <c r="BJ66" s="36"/>
      <c r="BK66" s="199">
        <v>495.9</v>
      </c>
      <c r="BL66" s="36"/>
      <c r="BM66" s="199">
        <v>490.1</v>
      </c>
      <c r="BN66" s="36"/>
      <c r="BO66" s="199">
        <v>577.68</v>
      </c>
      <c r="BP66" s="37"/>
      <c r="BQ66" s="199">
        <v>514.46</v>
      </c>
      <c r="BR66" s="37"/>
      <c r="BS66" s="199">
        <v>517.94</v>
      </c>
      <c r="BT66" s="37"/>
      <c r="BU66" s="35">
        <f t="shared" si="48"/>
        <v>6769.18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4"/>
    </row>
    <row r="67" s="170" customFormat="1" ht="27" customHeight="1" spans="1:88">
      <c r="A67" s="45"/>
      <c r="B67" s="193" t="s">
        <v>280</v>
      </c>
      <c r="C67" s="35">
        <v>89.34</v>
      </c>
      <c r="D67" s="36">
        <f t="shared" si="25"/>
        <v>-0.0403866809881847</v>
      </c>
      <c r="E67" s="35">
        <v>88.01</v>
      </c>
      <c r="F67" s="36">
        <f t="shared" si="26"/>
        <v>0.00239179954441915</v>
      </c>
      <c r="G67" s="35">
        <v>82.21</v>
      </c>
      <c r="H67" s="36">
        <f t="shared" si="27"/>
        <v>-0.0183880597014926</v>
      </c>
      <c r="I67" s="35">
        <v>80.21</v>
      </c>
      <c r="J67" s="36">
        <f t="shared" si="28"/>
        <v>-0.0428400954653938</v>
      </c>
      <c r="K67" s="35">
        <v>91.67</v>
      </c>
      <c r="L67" s="36">
        <f t="shared" si="29"/>
        <v>-0.111810871039628</v>
      </c>
      <c r="M67" s="35">
        <v>78.65</v>
      </c>
      <c r="N67" s="36">
        <f t="shared" si="30"/>
        <v>-0.0325953259532594</v>
      </c>
      <c r="O67" s="35">
        <v>78.31</v>
      </c>
      <c r="P67" s="36">
        <f t="shared" si="31"/>
        <v>-0.0403186274509802</v>
      </c>
      <c r="Q67" s="175"/>
      <c r="R67" s="127"/>
      <c r="S67" s="35">
        <f t="shared" si="32"/>
        <v>588.4</v>
      </c>
      <c r="T67" s="132">
        <f t="shared" si="33"/>
        <v>-0.155713711760317</v>
      </c>
      <c r="U67" s="35"/>
      <c r="V67" s="35">
        <v>93.1</v>
      </c>
      <c r="W67" s="36">
        <f t="shared" si="34"/>
        <v>-0.0210304942166141</v>
      </c>
      <c r="X67" s="35">
        <v>87.8</v>
      </c>
      <c r="Y67" s="36">
        <f t="shared" si="35"/>
        <v>-0.061965811965812</v>
      </c>
      <c r="Z67" s="35">
        <v>83.75</v>
      </c>
      <c r="AA67" s="36">
        <f t="shared" si="36"/>
        <v>0.0276073619631902</v>
      </c>
      <c r="AB67" s="35">
        <v>83.8</v>
      </c>
      <c r="AC67" s="36">
        <f t="shared" si="37"/>
        <v>-0.00119189511323015</v>
      </c>
      <c r="AD67" s="35">
        <v>103.21</v>
      </c>
      <c r="AE67" s="36">
        <f t="shared" si="38"/>
        <v>-0.0381174277726002</v>
      </c>
      <c r="AF67" s="35">
        <v>81.3</v>
      </c>
      <c r="AG67" s="36">
        <f t="shared" si="39"/>
        <v>0.0265151515151514</v>
      </c>
      <c r="AH67" s="35">
        <v>81.6</v>
      </c>
      <c r="AI67" s="36">
        <f t="shared" si="40"/>
        <v>0.00122699386503067</v>
      </c>
      <c r="AJ67" s="35">
        <v>82.36</v>
      </c>
      <c r="AK67" s="36">
        <f t="shared" si="41"/>
        <v>0.125136612021858</v>
      </c>
      <c r="AL67" s="35">
        <v>78.23</v>
      </c>
      <c r="AM67" s="36">
        <f t="shared" si="42"/>
        <v>0.0790344827586207</v>
      </c>
      <c r="AN67" s="35">
        <v>80.15</v>
      </c>
      <c r="AO67" s="36">
        <f t="shared" si="43"/>
        <v>-0.0480997624703088</v>
      </c>
      <c r="AP67" s="35">
        <v>79.52</v>
      </c>
      <c r="AQ67" s="36">
        <f t="shared" si="44"/>
        <v>0.0518518518518518</v>
      </c>
      <c r="AR67" s="35">
        <v>77.28</v>
      </c>
      <c r="AS67" s="36">
        <f t="shared" si="45"/>
        <v>0.0075619295958278</v>
      </c>
      <c r="AT67" s="35">
        <f t="shared" si="46"/>
        <v>1012.1</v>
      </c>
      <c r="AU67" s="36">
        <f t="shared" si="47"/>
        <v>0.00776660360450032</v>
      </c>
      <c r="AV67" s="196"/>
      <c r="AW67" s="35">
        <v>95.1</v>
      </c>
      <c r="AX67" s="36"/>
      <c r="AY67" s="35">
        <v>93.6</v>
      </c>
      <c r="AZ67" s="36"/>
      <c r="BA67" s="35">
        <v>81.5</v>
      </c>
      <c r="BB67" s="36"/>
      <c r="BC67" s="35">
        <v>83.9</v>
      </c>
      <c r="BD67" s="36"/>
      <c r="BE67" s="199">
        <v>107.3</v>
      </c>
      <c r="BF67" s="36"/>
      <c r="BG67" s="199">
        <v>79.2</v>
      </c>
      <c r="BH67" s="36"/>
      <c r="BI67" s="199">
        <v>81.5</v>
      </c>
      <c r="BJ67" s="36"/>
      <c r="BK67" s="199">
        <v>73.2</v>
      </c>
      <c r="BL67" s="36"/>
      <c r="BM67" s="199">
        <v>72.5</v>
      </c>
      <c r="BN67" s="36"/>
      <c r="BO67" s="199">
        <v>84.2</v>
      </c>
      <c r="BP67" s="37"/>
      <c r="BQ67" s="199">
        <v>75.6</v>
      </c>
      <c r="BR67" s="37"/>
      <c r="BS67" s="199">
        <v>76.7</v>
      </c>
      <c r="BT67" s="37"/>
      <c r="BU67" s="35">
        <f t="shared" si="48"/>
        <v>1004.3</v>
      </c>
      <c r="BV67" s="36"/>
      <c r="BW67" s="40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4"/>
    </row>
    <row r="68" s="170" customFormat="1" ht="27" customHeight="1" spans="1:88">
      <c r="A68" s="29"/>
      <c r="B68" s="193" t="s">
        <v>276</v>
      </c>
      <c r="C68" s="35">
        <v>213.52</v>
      </c>
      <c r="D68" s="36">
        <f t="shared" si="25"/>
        <v>-0.0826208378088077</v>
      </c>
      <c r="E68" s="35">
        <v>210.34</v>
      </c>
      <c r="F68" s="36">
        <f t="shared" si="26"/>
        <v>-0.0417312072892938</v>
      </c>
      <c r="G68" s="35">
        <v>196.48</v>
      </c>
      <c r="H68" s="36">
        <f t="shared" si="27"/>
        <v>-0.0616104690037254</v>
      </c>
      <c r="I68" s="35">
        <v>191.7</v>
      </c>
      <c r="J68" s="36">
        <f t="shared" si="28"/>
        <v>-0.084964200477327</v>
      </c>
      <c r="K68" s="35">
        <v>219.09</v>
      </c>
      <c r="L68" s="36">
        <f t="shared" si="29"/>
        <v>-0.150912684571561</v>
      </c>
      <c r="M68" s="35">
        <v>187.97</v>
      </c>
      <c r="N68" s="36">
        <f t="shared" si="30"/>
        <v>-0.0751783517835178</v>
      </c>
      <c r="O68" s="35">
        <v>187.16</v>
      </c>
      <c r="P68" s="36">
        <f t="shared" si="31"/>
        <v>-0.0825490196078431</v>
      </c>
      <c r="Q68" s="175"/>
      <c r="R68" s="127"/>
      <c r="S68" s="35">
        <f t="shared" si="32"/>
        <v>1406.26</v>
      </c>
      <c r="T68" s="132">
        <f t="shared" si="33"/>
        <v>-0.17573135920566</v>
      </c>
      <c r="U68" s="35"/>
      <c r="V68" s="35">
        <v>232.75</v>
      </c>
      <c r="W68" s="36">
        <f t="shared" si="34"/>
        <v>-0.0210304942166141</v>
      </c>
      <c r="X68" s="35">
        <v>219.5</v>
      </c>
      <c r="Y68" s="36">
        <f t="shared" si="35"/>
        <v>-0.061965811965812</v>
      </c>
      <c r="Z68" s="35">
        <v>209.38</v>
      </c>
      <c r="AA68" s="36">
        <f t="shared" si="36"/>
        <v>0.0276319018404907</v>
      </c>
      <c r="AB68" s="35">
        <v>209.5</v>
      </c>
      <c r="AC68" s="36">
        <f t="shared" si="37"/>
        <v>-0.00119189511323003</v>
      </c>
      <c r="AD68" s="35">
        <v>258.03</v>
      </c>
      <c r="AE68" s="36">
        <f t="shared" si="38"/>
        <v>-0.0380987884436161</v>
      </c>
      <c r="AF68" s="35">
        <v>203.25</v>
      </c>
      <c r="AG68" s="36">
        <f t="shared" si="39"/>
        <v>0.0265151515151516</v>
      </c>
      <c r="AH68" s="35">
        <v>204</v>
      </c>
      <c r="AI68" s="36">
        <f t="shared" si="40"/>
        <v>0.00122699386503067</v>
      </c>
      <c r="AJ68" s="35">
        <v>169.66</v>
      </c>
      <c r="AK68" s="36">
        <f t="shared" si="41"/>
        <v>-0.072896174863388</v>
      </c>
      <c r="AL68" s="35">
        <v>161.15</v>
      </c>
      <c r="AM68" s="36">
        <f t="shared" si="42"/>
        <v>-0.110896551724138</v>
      </c>
      <c r="AN68" s="35">
        <v>165.11</v>
      </c>
      <c r="AO68" s="36">
        <f t="shared" si="43"/>
        <v>-0.21562945368171</v>
      </c>
      <c r="AP68" s="35">
        <v>163.81</v>
      </c>
      <c r="AQ68" s="36">
        <f t="shared" si="44"/>
        <v>-0.133280423280423</v>
      </c>
      <c r="AR68" s="35">
        <v>159.2</v>
      </c>
      <c r="AS68" s="36">
        <f t="shared" si="45"/>
        <v>-0.169752281616688</v>
      </c>
      <c r="AT68" s="35">
        <f t="shared" si="46"/>
        <v>2355.34</v>
      </c>
      <c r="AU68" s="36">
        <f t="shared" si="47"/>
        <v>-0.0618978392910486</v>
      </c>
      <c r="AV68" s="196"/>
      <c r="AW68" s="35">
        <v>237.75</v>
      </c>
      <c r="AX68" s="36"/>
      <c r="AY68" s="35">
        <v>234</v>
      </c>
      <c r="AZ68" s="36"/>
      <c r="BA68" s="35">
        <v>203.75</v>
      </c>
      <c r="BB68" s="36"/>
      <c r="BC68" s="35">
        <v>209.75</v>
      </c>
      <c r="BD68" s="36"/>
      <c r="BE68" s="199">
        <v>268.25</v>
      </c>
      <c r="BF68" s="36"/>
      <c r="BG68" s="199">
        <v>198</v>
      </c>
      <c r="BH68" s="36"/>
      <c r="BI68" s="199">
        <v>203.75</v>
      </c>
      <c r="BJ68" s="36"/>
      <c r="BK68" s="199">
        <v>183</v>
      </c>
      <c r="BL68" s="36"/>
      <c r="BM68" s="199">
        <v>181.25</v>
      </c>
      <c r="BN68" s="36"/>
      <c r="BO68" s="199">
        <v>210.5</v>
      </c>
      <c r="BP68" s="37"/>
      <c r="BQ68" s="199">
        <v>189</v>
      </c>
      <c r="BR68" s="37"/>
      <c r="BS68" s="199">
        <v>191.75</v>
      </c>
      <c r="BT68" s="37"/>
      <c r="BU68" s="35">
        <f t="shared" si="48"/>
        <v>2510.75</v>
      </c>
      <c r="BV68" s="36"/>
      <c r="BW68" s="40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4"/>
    </row>
    <row r="69" s="169" customFormat="1" ht="27" customHeight="1" spans="1:88">
      <c r="A69" s="48" t="s">
        <v>110</v>
      </c>
      <c r="B69" s="193" t="s">
        <v>278</v>
      </c>
      <c r="C69" s="35">
        <v>81.94</v>
      </c>
      <c r="D69" s="36">
        <f t="shared" ref="D69:D76" si="49">C69/V69-1</f>
        <v>-0.0157357357357357</v>
      </c>
      <c r="E69" s="35">
        <v>84.13</v>
      </c>
      <c r="F69" s="36">
        <f t="shared" ref="F69:F76" si="50">E69/X69-1</f>
        <v>0.0315105443845021</v>
      </c>
      <c r="G69" s="35">
        <v>79.85</v>
      </c>
      <c r="H69" s="36">
        <f t="shared" ref="H69:H76" si="51">G69/Z69-1</f>
        <v>-0.0126128354148635</v>
      </c>
      <c r="I69" s="35">
        <v>79.06</v>
      </c>
      <c r="J69" s="36">
        <f t="shared" ref="J69:J76" si="52">I69/AB69-1</f>
        <v>-0.0108845239584637</v>
      </c>
      <c r="K69" s="35">
        <v>81.67</v>
      </c>
      <c r="L69" s="36">
        <f t="shared" ref="L69:L76" si="53">K69/AD69-1</f>
        <v>-0.0106602059357964</v>
      </c>
      <c r="M69" s="35">
        <v>68.19</v>
      </c>
      <c r="N69" s="36">
        <f t="shared" ref="N69:N76" si="54">M69/AF69-1</f>
        <v>-0.123972250770812</v>
      </c>
      <c r="O69" s="35">
        <v>68.11</v>
      </c>
      <c r="P69" s="36">
        <f t="shared" ref="P69:P76" si="55">O69/AH69-1</f>
        <v>-0.114764751754614</v>
      </c>
      <c r="Q69" s="175"/>
      <c r="R69" s="127"/>
      <c r="S69" s="131">
        <f t="shared" ref="S69:S76" si="56">C69+E69+G69+I69+K69+M69+O69+Q69</f>
        <v>542.95</v>
      </c>
      <c r="T69" s="132">
        <f t="shared" ref="T69:T76" si="57">S69/SUM(V69+X69+Z69+AB69+AD69+AF69+AH69+AJ69)-1</f>
        <v>-0.150379469525076</v>
      </c>
      <c r="U69" s="35"/>
      <c r="V69" s="35">
        <v>83.25</v>
      </c>
      <c r="W69" s="36">
        <f t="shared" ref="W69:W76" si="58">V69/AW69-1</f>
        <v>0.0213470739786528</v>
      </c>
      <c r="X69" s="35">
        <v>81.56</v>
      </c>
      <c r="Y69" s="36">
        <f t="shared" ref="Y69:Y76" si="59">X69/AY69-1</f>
        <v>-0.0870830535034699</v>
      </c>
      <c r="Z69" s="35">
        <v>80.87</v>
      </c>
      <c r="AA69" s="36">
        <f t="shared" ref="AA69:AA76" si="60">Z69/BA69-1</f>
        <v>-0.018329691672736</v>
      </c>
      <c r="AB69" s="35">
        <v>79.93</v>
      </c>
      <c r="AC69" s="36">
        <f t="shared" ref="AC69:AC76" si="61">AB69/BC69-1</f>
        <v>-0.0112568035625927</v>
      </c>
      <c r="AD69" s="35">
        <v>82.55</v>
      </c>
      <c r="AE69" s="36">
        <f t="shared" ref="AE69:AE76" si="62">AD69/BE69-1</f>
        <v>-0.0117323117442836</v>
      </c>
      <c r="AF69" s="35">
        <v>77.84</v>
      </c>
      <c r="AG69" s="36">
        <f t="shared" ref="AG69:AG76" si="63">AF69/BG69-1</f>
        <v>-0.00638243553740103</v>
      </c>
      <c r="AH69" s="35">
        <v>76.94</v>
      </c>
      <c r="AI69" s="36">
        <f t="shared" ref="AI69:AI76" si="64">AH69/BI69-1</f>
        <v>-0.011562178828366</v>
      </c>
      <c r="AJ69" s="35">
        <v>76.11</v>
      </c>
      <c r="AK69" s="36">
        <f t="shared" ref="AK69:AK76" si="65">AJ69/BK69-1</f>
        <v>-0.0110446985446985</v>
      </c>
      <c r="AL69" s="35">
        <v>76.55</v>
      </c>
      <c r="AM69" s="36">
        <f t="shared" ref="AM69:AM76" si="66">AL69/BM69-1</f>
        <v>-0.0103425985778927</v>
      </c>
      <c r="AN69" s="35">
        <v>82.84</v>
      </c>
      <c r="AO69" s="36">
        <f t="shared" ref="AO69:AO76" si="67">AN69/BO69-1</f>
        <v>-0.0109837631327603</v>
      </c>
      <c r="AP69" s="35">
        <v>75.76</v>
      </c>
      <c r="AQ69" s="36">
        <f t="shared" ref="AQ69:AQ76" si="68">AP69/BQ69-1</f>
        <v>-0.0101907499346747</v>
      </c>
      <c r="AR69" s="35">
        <v>70.38</v>
      </c>
      <c r="AS69" s="36">
        <f t="shared" ref="AS69:AS76" si="69">AR69/BS69-1</f>
        <v>-0.0106831599662638</v>
      </c>
      <c r="AT69" s="35">
        <f t="shared" ref="AT69:AT76" si="70">V69+X69+Z69+AB69+AD69+AF69+AH69+AJ69+AL69+AN69+AP69+AR69</f>
        <v>944.58</v>
      </c>
      <c r="AU69" s="36">
        <f t="shared" ref="AU69:AU76" si="71">AT69/(AW69+AY69+BA69+BC69+BE69+BG69+BI69+BK69+BM69+BO69+BQ69+BS69)-1</f>
        <v>-0.0155805446416475</v>
      </c>
      <c r="AV69" s="194"/>
      <c r="AW69" s="38">
        <v>81.51</v>
      </c>
      <c r="AX69" s="37">
        <f>AW69/BX69-1</f>
        <v>-0.129166666666667</v>
      </c>
      <c r="AY69" s="38">
        <v>89.34</v>
      </c>
      <c r="AZ69" s="37">
        <f>AY69/BY69-1</f>
        <v>0.0476078799249531</v>
      </c>
      <c r="BA69" s="38">
        <v>82.38</v>
      </c>
      <c r="BB69" s="37">
        <f>BA69/BZ69-1</f>
        <v>0.0160335471139614</v>
      </c>
      <c r="BC69" s="38">
        <v>80.84</v>
      </c>
      <c r="BD69" s="37">
        <f>BC69/CA69-1</f>
        <v>-0.0101628504958982</v>
      </c>
      <c r="BE69" s="200">
        <v>83.53</v>
      </c>
      <c r="BF69" s="37">
        <f>BE69/CB69-1</f>
        <v>-0.0143952802359882</v>
      </c>
      <c r="BG69" s="200">
        <v>78.34</v>
      </c>
      <c r="BH69" s="37">
        <f>BG69/CC69-1</f>
        <v>-0.0264694917360506</v>
      </c>
      <c r="BI69" s="200">
        <v>77.84</v>
      </c>
      <c r="BJ69" s="37">
        <f>BI69/CD69-1</f>
        <v>-0.0205108846105448</v>
      </c>
      <c r="BK69" s="200">
        <v>76.96</v>
      </c>
      <c r="BL69" s="37">
        <f>BK69/CE69-1</f>
        <v>-0.0224819001651214</v>
      </c>
      <c r="BM69" s="200">
        <v>77.35</v>
      </c>
      <c r="BN69" s="37">
        <f>BM69/CF69-1</f>
        <v>-0.0101100588686973</v>
      </c>
      <c r="BO69" s="200">
        <v>83.76</v>
      </c>
      <c r="BP69" s="37">
        <f>BO69/CG69-1</f>
        <v>-0.0241174414540369</v>
      </c>
      <c r="BQ69" s="200">
        <v>76.54</v>
      </c>
      <c r="BR69" s="37">
        <f>BQ69/CH69-1</f>
        <v>-0.012769250612666</v>
      </c>
      <c r="BS69" s="200">
        <v>71.14</v>
      </c>
      <c r="BT69" s="37">
        <f>BS69/CI69-1</f>
        <v>-0.0144084233859796</v>
      </c>
      <c r="BU69" s="38">
        <f t="shared" ref="BU69:BU76" si="72">AW69+AY69+BA69+BC69+BE69+BG69+BI69+BK69+BM69+BO69+BQ69+BS69</f>
        <v>959.53</v>
      </c>
      <c r="BV69" s="37">
        <f>BU69/CJ69-1</f>
        <v>-0.0196172591010799</v>
      </c>
      <c r="BW69" s="39"/>
      <c r="BX69" s="197">
        <v>93.6</v>
      </c>
      <c r="BY69" s="197">
        <v>85.28</v>
      </c>
      <c r="BZ69" s="197">
        <v>81.08</v>
      </c>
      <c r="CA69" s="197">
        <v>81.67</v>
      </c>
      <c r="CB69" s="197">
        <v>84.75</v>
      </c>
      <c r="CC69" s="197">
        <v>80.47</v>
      </c>
      <c r="CD69" s="197">
        <v>79.47</v>
      </c>
      <c r="CE69" s="197">
        <v>78.73</v>
      </c>
      <c r="CF69" s="197">
        <v>78.14</v>
      </c>
      <c r="CG69" s="197">
        <v>85.83</v>
      </c>
      <c r="CH69" s="197">
        <v>77.53</v>
      </c>
      <c r="CI69" s="197">
        <v>72.18</v>
      </c>
      <c r="CJ69" s="38">
        <f>BX69+BY69+BZ69+CA69+CB69+CC69+CD69+CE69+CF69+CG69+CH69+CI69</f>
        <v>978.73</v>
      </c>
    </row>
    <row r="70" s="170" customFormat="1" ht="27" customHeight="1" spans="1:88">
      <c r="A70" s="45"/>
      <c r="B70" s="193" t="s">
        <v>279</v>
      </c>
      <c r="C70" s="35">
        <v>393.31</v>
      </c>
      <c r="D70" s="36">
        <f t="shared" si="49"/>
        <v>-0.0157407407407408</v>
      </c>
      <c r="E70" s="35">
        <v>403.82</v>
      </c>
      <c r="F70" s="36">
        <f t="shared" si="50"/>
        <v>0.0314950573450152</v>
      </c>
      <c r="G70" s="35">
        <v>383.28</v>
      </c>
      <c r="H70" s="36">
        <f t="shared" si="51"/>
        <v>-0.0126230099438406</v>
      </c>
      <c r="I70" s="35">
        <v>379.49</v>
      </c>
      <c r="J70" s="36">
        <f t="shared" si="52"/>
        <v>-0.0108689985925038</v>
      </c>
      <c r="K70" s="35">
        <v>392.02</v>
      </c>
      <c r="L70" s="36">
        <f t="shared" si="53"/>
        <v>-0.0106501110438119</v>
      </c>
      <c r="M70" s="35">
        <v>327.31</v>
      </c>
      <c r="N70" s="36">
        <f t="shared" si="54"/>
        <v>-0.123972914380537</v>
      </c>
      <c r="O70" s="35">
        <v>326.93</v>
      </c>
      <c r="P70" s="36">
        <f t="shared" si="55"/>
        <v>-0.114754542254475</v>
      </c>
      <c r="Q70" s="175"/>
      <c r="R70" s="127"/>
      <c r="S70" s="35">
        <f t="shared" si="56"/>
        <v>2606.16</v>
      </c>
      <c r="T70" s="132">
        <f t="shared" si="57"/>
        <v>-0.150379469525076</v>
      </c>
      <c r="U70" s="35"/>
      <c r="V70" s="35">
        <v>399.6</v>
      </c>
      <c r="W70" s="36">
        <f t="shared" si="58"/>
        <v>0.0213418530351439</v>
      </c>
      <c r="X70" s="35">
        <v>391.49</v>
      </c>
      <c r="Y70" s="36">
        <f t="shared" si="59"/>
        <v>-0.0870741319403959</v>
      </c>
      <c r="Z70" s="35">
        <v>388.18</v>
      </c>
      <c r="AA70" s="36">
        <f t="shared" si="60"/>
        <v>-0.0183096454402913</v>
      </c>
      <c r="AB70" s="35">
        <v>383.66</v>
      </c>
      <c r="AC70" s="36">
        <f t="shared" si="61"/>
        <v>-0.0112620158235187</v>
      </c>
      <c r="AD70" s="35">
        <v>396.24</v>
      </c>
      <c r="AE70" s="36">
        <f t="shared" si="62"/>
        <v>-0.0117224522372424</v>
      </c>
      <c r="AF70" s="35">
        <v>373.63</v>
      </c>
      <c r="AG70" s="36">
        <f t="shared" si="63"/>
        <v>-0.00638246948381771</v>
      </c>
      <c r="AH70" s="35">
        <v>369.31</v>
      </c>
      <c r="AI70" s="36">
        <f t="shared" si="64"/>
        <v>-0.0115622407194282</v>
      </c>
      <c r="AJ70" s="35">
        <v>365.33</v>
      </c>
      <c r="AK70" s="36">
        <f t="shared" si="65"/>
        <v>-0.0110446387482744</v>
      </c>
      <c r="AL70" s="35">
        <v>367.44</v>
      </c>
      <c r="AM70" s="36">
        <f t="shared" si="66"/>
        <v>-0.0103425985778927</v>
      </c>
      <c r="AN70" s="35">
        <v>397.63</v>
      </c>
      <c r="AO70" s="36">
        <f t="shared" si="67"/>
        <v>-0.0109936575052855</v>
      </c>
      <c r="AP70" s="35">
        <v>363.65</v>
      </c>
      <c r="AQ70" s="36">
        <f t="shared" si="68"/>
        <v>-0.0101799177985248</v>
      </c>
      <c r="AR70" s="35">
        <v>337.82</v>
      </c>
      <c r="AS70" s="36">
        <f t="shared" si="69"/>
        <v>-0.0106890795677513</v>
      </c>
      <c r="AT70" s="35">
        <f t="shared" si="70"/>
        <v>4533.98</v>
      </c>
      <c r="AU70" s="36">
        <f t="shared" si="71"/>
        <v>-0.0155784207932295</v>
      </c>
      <c r="AV70" s="196"/>
      <c r="AW70" s="35">
        <v>391.25</v>
      </c>
      <c r="AX70" s="36"/>
      <c r="AY70" s="35">
        <v>428.83</v>
      </c>
      <c r="AZ70" s="36"/>
      <c r="BA70" s="35">
        <v>395.42</v>
      </c>
      <c r="BB70" s="36"/>
      <c r="BC70" s="35">
        <v>388.03</v>
      </c>
      <c r="BD70" s="36"/>
      <c r="BE70" s="199">
        <v>400.94</v>
      </c>
      <c r="BF70" s="36"/>
      <c r="BG70" s="199">
        <v>376.03</v>
      </c>
      <c r="BH70" s="36"/>
      <c r="BI70" s="199">
        <v>373.63</v>
      </c>
      <c r="BJ70" s="36"/>
      <c r="BK70" s="199">
        <v>369.41</v>
      </c>
      <c r="BL70" s="36"/>
      <c r="BM70" s="199">
        <v>371.28</v>
      </c>
      <c r="BN70" s="36"/>
      <c r="BO70" s="199">
        <v>402.05</v>
      </c>
      <c r="BP70" s="37"/>
      <c r="BQ70" s="199">
        <v>367.39</v>
      </c>
      <c r="BR70" s="37"/>
      <c r="BS70" s="199">
        <v>341.47</v>
      </c>
      <c r="BT70" s="37"/>
      <c r="BU70" s="35">
        <f t="shared" si="72"/>
        <v>4605.73</v>
      </c>
      <c r="BV70" s="36"/>
      <c r="BW70" s="40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4"/>
    </row>
    <row r="71" s="170" customFormat="1" ht="27" customHeight="1" spans="1:88">
      <c r="A71" s="45"/>
      <c r="B71" s="193" t="s">
        <v>280</v>
      </c>
      <c r="C71" s="35">
        <v>61.24</v>
      </c>
      <c r="D71" s="36">
        <f t="shared" si="49"/>
        <v>-0.0176451716393968</v>
      </c>
      <c r="E71" s="35">
        <v>62.47</v>
      </c>
      <c r="F71" s="36">
        <f t="shared" si="50"/>
        <v>0.0214192282537606</v>
      </c>
      <c r="G71" s="35">
        <v>59.48</v>
      </c>
      <c r="H71" s="36">
        <f t="shared" si="51"/>
        <v>-0.00734312416555416</v>
      </c>
      <c r="I71" s="35">
        <v>59.01</v>
      </c>
      <c r="J71" s="36">
        <f t="shared" si="52"/>
        <v>-0.0103974509475098</v>
      </c>
      <c r="K71" s="35">
        <v>61.07</v>
      </c>
      <c r="L71" s="36">
        <f t="shared" si="53"/>
        <v>-0.00666883539362384</v>
      </c>
      <c r="M71" s="35">
        <v>50.76</v>
      </c>
      <c r="N71" s="36">
        <f t="shared" si="54"/>
        <v>-0.137761168676745</v>
      </c>
      <c r="O71" s="35">
        <v>50.71</v>
      </c>
      <c r="P71" s="36">
        <f t="shared" si="55"/>
        <v>-0.119465184927939</v>
      </c>
      <c r="Q71" s="175"/>
      <c r="R71" s="127"/>
      <c r="S71" s="35">
        <f t="shared" si="56"/>
        <v>404.74</v>
      </c>
      <c r="T71" s="132">
        <f t="shared" si="57"/>
        <v>-0.152838245144005</v>
      </c>
      <c r="U71" s="35"/>
      <c r="V71" s="35">
        <v>62.34</v>
      </c>
      <c r="W71" s="36">
        <f t="shared" si="58"/>
        <v>0.0412560547853684</v>
      </c>
      <c r="X71" s="35">
        <v>61.16</v>
      </c>
      <c r="Y71" s="36">
        <f t="shared" si="59"/>
        <v>-0.0609550130508214</v>
      </c>
      <c r="Z71" s="35">
        <v>59.92</v>
      </c>
      <c r="AA71" s="36">
        <f t="shared" si="60"/>
        <v>-0.0228310502283104</v>
      </c>
      <c r="AB71" s="35">
        <v>59.63</v>
      </c>
      <c r="AC71" s="36">
        <f t="shared" si="61"/>
        <v>-0.0138911857119232</v>
      </c>
      <c r="AD71" s="35">
        <v>61.48</v>
      </c>
      <c r="AE71" s="36">
        <f t="shared" si="62"/>
        <v>-0.0158476068512886</v>
      </c>
      <c r="AF71" s="35">
        <v>58.87</v>
      </c>
      <c r="AG71" s="36">
        <f t="shared" si="63"/>
        <v>-0.0211173927502495</v>
      </c>
      <c r="AH71" s="35">
        <v>57.59</v>
      </c>
      <c r="AI71" s="36">
        <f t="shared" si="64"/>
        <v>-0.0217428231696959</v>
      </c>
      <c r="AJ71" s="35">
        <v>56.77</v>
      </c>
      <c r="AK71" s="36">
        <f t="shared" si="65"/>
        <v>-0.023563811489508</v>
      </c>
      <c r="AL71" s="35">
        <v>57.86</v>
      </c>
      <c r="AM71" s="36">
        <f t="shared" si="66"/>
        <v>-0.00805760329161664</v>
      </c>
      <c r="AN71" s="35">
        <v>62.38</v>
      </c>
      <c r="AO71" s="36">
        <f t="shared" si="67"/>
        <v>-0.0115671050546664</v>
      </c>
      <c r="AP71" s="35">
        <v>57.41</v>
      </c>
      <c r="AQ71" s="36">
        <f t="shared" si="68"/>
        <v>-0.0094893029675639</v>
      </c>
      <c r="AR71" s="35">
        <v>52.92</v>
      </c>
      <c r="AS71" s="36">
        <f t="shared" si="69"/>
        <v>-0.0392156862745098</v>
      </c>
      <c r="AT71" s="35">
        <f t="shared" si="70"/>
        <v>708.33</v>
      </c>
      <c r="AU71" s="36">
        <f t="shared" si="71"/>
        <v>-0.017422907794532</v>
      </c>
      <c r="AV71" s="196"/>
      <c r="AW71" s="35">
        <v>59.87</v>
      </c>
      <c r="AX71" s="36"/>
      <c r="AY71" s="35">
        <v>65.13</v>
      </c>
      <c r="AZ71" s="36"/>
      <c r="BA71" s="35">
        <v>61.32</v>
      </c>
      <c r="BB71" s="36"/>
      <c r="BC71" s="35">
        <v>60.47</v>
      </c>
      <c r="BD71" s="36"/>
      <c r="BE71" s="199">
        <v>62.47</v>
      </c>
      <c r="BF71" s="36"/>
      <c r="BG71" s="199">
        <v>60.14</v>
      </c>
      <c r="BH71" s="36"/>
      <c r="BI71" s="199">
        <v>58.87</v>
      </c>
      <c r="BJ71" s="36"/>
      <c r="BK71" s="199">
        <v>58.14</v>
      </c>
      <c r="BL71" s="36"/>
      <c r="BM71" s="199">
        <v>58.33</v>
      </c>
      <c r="BN71" s="36"/>
      <c r="BO71" s="199">
        <v>63.11</v>
      </c>
      <c r="BP71" s="37"/>
      <c r="BQ71" s="199">
        <v>57.96</v>
      </c>
      <c r="BR71" s="37"/>
      <c r="BS71" s="199">
        <v>55.08</v>
      </c>
      <c r="BT71" s="37"/>
      <c r="BU71" s="35">
        <f t="shared" si="72"/>
        <v>720.89</v>
      </c>
      <c r="BV71" s="36"/>
      <c r="BW71" s="40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4"/>
    </row>
    <row r="72" s="170" customFormat="1" ht="27" customHeight="1" spans="1:88">
      <c r="A72" s="29"/>
      <c r="B72" s="193" t="s">
        <v>276</v>
      </c>
      <c r="C72" s="35">
        <v>195.97</v>
      </c>
      <c r="D72" s="36">
        <f t="shared" si="49"/>
        <v>-0.0176449947365783</v>
      </c>
      <c r="E72" s="35">
        <v>199.9</v>
      </c>
      <c r="F72" s="36">
        <f t="shared" si="50"/>
        <v>0.0214092279392979</v>
      </c>
      <c r="G72" s="35">
        <v>190.34</v>
      </c>
      <c r="H72" s="36">
        <f t="shared" si="51"/>
        <v>-0.00730155418796286</v>
      </c>
      <c r="I72" s="35">
        <v>188.83</v>
      </c>
      <c r="J72" s="36">
        <f t="shared" si="52"/>
        <v>-0.0104286762393878</v>
      </c>
      <c r="K72" s="35">
        <v>195.42</v>
      </c>
      <c r="L72" s="36">
        <f t="shared" si="53"/>
        <v>-0.00670936261055211</v>
      </c>
      <c r="M72" s="35">
        <v>162.43</v>
      </c>
      <c r="N72" s="36">
        <f t="shared" si="54"/>
        <v>-0.137753477014545</v>
      </c>
      <c r="O72" s="35">
        <v>162.27</v>
      </c>
      <c r="P72" s="36">
        <f t="shared" si="55"/>
        <v>-0.119485593358294</v>
      </c>
      <c r="Q72" s="175"/>
      <c r="R72" s="127"/>
      <c r="S72" s="35">
        <f t="shared" si="56"/>
        <v>1295.16</v>
      </c>
      <c r="T72" s="132">
        <f t="shared" si="57"/>
        <v>-0.152842369655227</v>
      </c>
      <c r="U72" s="35"/>
      <c r="V72" s="35">
        <v>199.49</v>
      </c>
      <c r="W72" s="36">
        <f t="shared" si="58"/>
        <v>0.0412882346800292</v>
      </c>
      <c r="X72" s="35">
        <v>195.71</v>
      </c>
      <c r="Y72" s="36">
        <f t="shared" si="59"/>
        <v>-0.0609826312254101</v>
      </c>
      <c r="Z72" s="35">
        <v>191.74</v>
      </c>
      <c r="AA72" s="36">
        <f t="shared" si="60"/>
        <v>-0.0228315156457037</v>
      </c>
      <c r="AB72" s="35">
        <v>190.82</v>
      </c>
      <c r="AC72" s="36">
        <f t="shared" si="61"/>
        <v>-0.0138501291989664</v>
      </c>
      <c r="AD72" s="35">
        <v>196.74</v>
      </c>
      <c r="AE72" s="36">
        <f t="shared" si="62"/>
        <v>-0.015807903951976</v>
      </c>
      <c r="AF72" s="35">
        <v>188.38</v>
      </c>
      <c r="AG72" s="36">
        <f t="shared" si="63"/>
        <v>-0.0211483502208365</v>
      </c>
      <c r="AH72" s="35">
        <v>184.29</v>
      </c>
      <c r="AI72" s="36">
        <f t="shared" si="64"/>
        <v>-0.0217114343348551</v>
      </c>
      <c r="AJ72" s="35">
        <v>181.66</v>
      </c>
      <c r="AK72" s="36">
        <f t="shared" si="65"/>
        <v>-0.023595807578608</v>
      </c>
      <c r="AL72" s="35">
        <v>185.15</v>
      </c>
      <c r="AM72" s="36">
        <f t="shared" si="66"/>
        <v>-0.00808957462766524</v>
      </c>
      <c r="AN72" s="35">
        <v>199.62</v>
      </c>
      <c r="AO72" s="36">
        <f t="shared" si="67"/>
        <v>-0.0115375092844763</v>
      </c>
      <c r="AP72" s="35">
        <v>183.71</v>
      </c>
      <c r="AQ72" s="36">
        <f t="shared" si="68"/>
        <v>-0.00948940529465681</v>
      </c>
      <c r="AR72" s="35">
        <v>169.34</v>
      </c>
      <c r="AS72" s="36">
        <f t="shared" si="69"/>
        <v>-0.0392601838193577</v>
      </c>
      <c r="AT72" s="35">
        <f t="shared" si="70"/>
        <v>2266.65</v>
      </c>
      <c r="AU72" s="36">
        <f t="shared" si="71"/>
        <v>-0.0174221012293873</v>
      </c>
      <c r="AV72" s="196"/>
      <c r="AW72" s="35">
        <v>191.58</v>
      </c>
      <c r="AX72" s="36"/>
      <c r="AY72" s="35">
        <v>208.42</v>
      </c>
      <c r="AZ72" s="36"/>
      <c r="BA72" s="35">
        <v>196.22</v>
      </c>
      <c r="BB72" s="36"/>
      <c r="BC72" s="35">
        <v>193.5</v>
      </c>
      <c r="BD72" s="36"/>
      <c r="BE72" s="199">
        <v>199.9</v>
      </c>
      <c r="BF72" s="36"/>
      <c r="BG72" s="199">
        <v>192.45</v>
      </c>
      <c r="BH72" s="36"/>
      <c r="BI72" s="199">
        <v>188.38</v>
      </c>
      <c r="BJ72" s="36"/>
      <c r="BK72" s="199">
        <v>186.05</v>
      </c>
      <c r="BL72" s="36"/>
      <c r="BM72" s="199">
        <v>186.66</v>
      </c>
      <c r="BN72" s="36"/>
      <c r="BO72" s="199">
        <v>201.95</v>
      </c>
      <c r="BP72" s="37"/>
      <c r="BQ72" s="199">
        <v>185.47</v>
      </c>
      <c r="BR72" s="37"/>
      <c r="BS72" s="199">
        <v>176.26</v>
      </c>
      <c r="BT72" s="37"/>
      <c r="BU72" s="35">
        <f t="shared" si="72"/>
        <v>2306.84</v>
      </c>
      <c r="BV72" s="36"/>
      <c r="BW72" s="40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4"/>
    </row>
    <row r="73" s="169" customFormat="1" ht="27" customHeight="1" spans="1:88">
      <c r="A73" s="48" t="s">
        <v>112</v>
      </c>
      <c r="B73" s="193" t="s">
        <v>278</v>
      </c>
      <c r="C73" s="35">
        <v>15.84</v>
      </c>
      <c r="D73" s="36">
        <f t="shared" si="49"/>
        <v>-0.00377358490566038</v>
      </c>
      <c r="E73" s="35">
        <v>15.86</v>
      </c>
      <c r="F73" s="36">
        <f t="shared" si="50"/>
        <v>-0.00188797986154821</v>
      </c>
      <c r="G73" s="35">
        <v>15.87</v>
      </c>
      <c r="H73" s="36">
        <f t="shared" si="51"/>
        <v>-0.00251414204902578</v>
      </c>
      <c r="I73" s="35">
        <v>15.88</v>
      </c>
      <c r="J73" s="36">
        <f t="shared" si="52"/>
        <v>-0.00438871473354219</v>
      </c>
      <c r="K73" s="35">
        <v>15.98</v>
      </c>
      <c r="L73" s="36">
        <f t="shared" si="53"/>
        <v>0</v>
      </c>
      <c r="M73" s="35">
        <v>16.01</v>
      </c>
      <c r="N73" s="36">
        <f t="shared" si="54"/>
        <v>0.000625000000000098</v>
      </c>
      <c r="O73" s="35">
        <v>16.05</v>
      </c>
      <c r="P73" s="36">
        <f t="shared" si="55"/>
        <v>-0.00310559006211186</v>
      </c>
      <c r="Q73" s="175"/>
      <c r="R73" s="127"/>
      <c r="S73" s="131">
        <f t="shared" si="56"/>
        <v>111.49</v>
      </c>
      <c r="T73" s="132">
        <f t="shared" si="57"/>
        <v>-0.127348152786475</v>
      </c>
      <c r="U73" s="35"/>
      <c r="V73" s="35">
        <v>15.9</v>
      </c>
      <c r="W73" s="36">
        <f t="shared" si="58"/>
        <v>0.0284605433376455</v>
      </c>
      <c r="X73" s="35">
        <v>15.89</v>
      </c>
      <c r="Y73" s="36">
        <f t="shared" si="59"/>
        <v>0.0264857881136951</v>
      </c>
      <c r="Z73" s="35">
        <v>15.91</v>
      </c>
      <c r="AA73" s="36">
        <f t="shared" si="60"/>
        <v>0.0284421460892048</v>
      </c>
      <c r="AB73" s="35">
        <v>15.95</v>
      </c>
      <c r="AC73" s="36">
        <f t="shared" si="61"/>
        <v>0.0303617571059431</v>
      </c>
      <c r="AD73" s="35">
        <v>15.98</v>
      </c>
      <c r="AE73" s="36">
        <f t="shared" si="62"/>
        <v>0.0316333118140737</v>
      </c>
      <c r="AF73" s="35">
        <v>16</v>
      </c>
      <c r="AG73" s="36">
        <f t="shared" si="63"/>
        <v>0.032258064516129</v>
      </c>
      <c r="AH73" s="35">
        <v>16.1</v>
      </c>
      <c r="AI73" s="36">
        <f t="shared" si="64"/>
        <v>0.0222222222222224</v>
      </c>
      <c r="AJ73" s="35">
        <v>16.03</v>
      </c>
      <c r="AK73" s="36">
        <f t="shared" si="65"/>
        <v>0.0171319796954315</v>
      </c>
      <c r="AL73" s="35">
        <v>16.04</v>
      </c>
      <c r="AM73" s="36">
        <f t="shared" si="66"/>
        <v>0.0282051282051281</v>
      </c>
      <c r="AN73" s="35">
        <v>16</v>
      </c>
      <c r="AO73" s="36">
        <f t="shared" si="67"/>
        <v>0.0315925209542232</v>
      </c>
      <c r="AP73" s="35">
        <v>15.8</v>
      </c>
      <c r="AQ73" s="36">
        <f t="shared" si="68"/>
        <v>0.0200129115558425</v>
      </c>
      <c r="AR73" s="35">
        <v>15.85</v>
      </c>
      <c r="AS73" s="36">
        <f t="shared" si="69"/>
        <v>0.0325732899022801</v>
      </c>
      <c r="AT73" s="35">
        <f t="shared" si="70"/>
        <v>191.45</v>
      </c>
      <c r="AU73" s="36">
        <f t="shared" si="71"/>
        <v>0.0274229902329077</v>
      </c>
      <c r="AV73" s="194"/>
      <c r="AW73" s="38">
        <v>15.46</v>
      </c>
      <c r="AX73" s="37">
        <f>AW73/BX73-1</f>
        <v>0.00129533678756477</v>
      </c>
      <c r="AY73" s="38">
        <v>15.48</v>
      </c>
      <c r="AZ73" s="37">
        <f>AY73/BY73-1</f>
        <v>0.00129366106080209</v>
      </c>
      <c r="BA73" s="38">
        <v>15.47</v>
      </c>
      <c r="BB73" s="37">
        <f>BA73/BZ73-1</f>
        <v>-0.000645994832041308</v>
      </c>
      <c r="BC73" s="38">
        <v>15.48</v>
      </c>
      <c r="BD73" s="37">
        <f>BC73/CA73-1</f>
        <v>-0.0012903225806451</v>
      </c>
      <c r="BE73" s="200">
        <v>15.49</v>
      </c>
      <c r="BF73" s="37">
        <f>BE73/CB73-1</f>
        <v>-0.0133757961783439</v>
      </c>
      <c r="BG73" s="200">
        <v>15.5</v>
      </c>
      <c r="BH73" s="37">
        <f>BG73/CC73-1</f>
        <v>0</v>
      </c>
      <c r="BI73" s="200">
        <v>15.75</v>
      </c>
      <c r="BJ73" s="37">
        <f>BI73/CD73-1</f>
        <v>0.0115606936416184</v>
      </c>
      <c r="BK73" s="200">
        <v>15.76</v>
      </c>
      <c r="BL73" s="37">
        <f>BK73/CE73-1</f>
        <v>0.0154639175257731</v>
      </c>
      <c r="BM73" s="200">
        <v>15.6</v>
      </c>
      <c r="BN73" s="37">
        <f>BM73/CF73-1</f>
        <v>0.00321543408360125</v>
      </c>
      <c r="BO73" s="200">
        <v>15.51</v>
      </c>
      <c r="BP73" s="37">
        <f>BO73/CG73-1</f>
        <v>-0.0038535645472062</v>
      </c>
      <c r="BQ73" s="200">
        <v>15.49</v>
      </c>
      <c r="BR73" s="37">
        <f>BQ73/CH73-1</f>
        <v>-0.00449871465295637</v>
      </c>
      <c r="BS73" s="200">
        <v>15.35</v>
      </c>
      <c r="BT73" s="37">
        <f>BS73/CI73-1</f>
        <v>-0.00839793281653756</v>
      </c>
      <c r="BU73" s="38">
        <f t="shared" si="72"/>
        <v>186.34</v>
      </c>
      <c r="BV73" s="37">
        <f>BU73/CJ73-1</f>
        <v>5.36682230452001e-5</v>
      </c>
      <c r="BW73" s="39"/>
      <c r="BX73" s="197">
        <v>15.44</v>
      </c>
      <c r="BY73" s="197">
        <v>15.46</v>
      </c>
      <c r="BZ73" s="197">
        <v>15.48</v>
      </c>
      <c r="CA73" s="197">
        <v>15.5</v>
      </c>
      <c r="CB73" s="197">
        <v>15.7</v>
      </c>
      <c r="CC73" s="197">
        <v>15.5</v>
      </c>
      <c r="CD73" s="197">
        <v>15.57</v>
      </c>
      <c r="CE73" s="197">
        <v>15.52</v>
      </c>
      <c r="CF73" s="197">
        <v>15.55</v>
      </c>
      <c r="CG73" s="197">
        <v>15.57</v>
      </c>
      <c r="CH73" s="197">
        <v>15.56</v>
      </c>
      <c r="CI73" s="197">
        <v>15.48</v>
      </c>
      <c r="CJ73" s="38">
        <f>BX73+BY73+BZ73+CA73+CB73+CC73+CD73+CE73+CF73+CG73+CH73+CI73</f>
        <v>186.33</v>
      </c>
    </row>
    <row r="74" s="170" customFormat="1" ht="27" customHeight="1" spans="1:88">
      <c r="A74" s="45"/>
      <c r="B74" s="193" t="s">
        <v>279</v>
      </c>
      <c r="C74" s="35">
        <v>79.2</v>
      </c>
      <c r="D74" s="36">
        <f t="shared" si="49"/>
        <v>0.245283018867924</v>
      </c>
      <c r="E74" s="35">
        <v>79.3</v>
      </c>
      <c r="F74" s="36">
        <f t="shared" si="50"/>
        <v>0.247640025173065</v>
      </c>
      <c r="G74" s="35">
        <v>79.35</v>
      </c>
      <c r="H74" s="36">
        <f t="shared" si="51"/>
        <v>0.246857322438718</v>
      </c>
      <c r="I74" s="35">
        <v>79.4</v>
      </c>
      <c r="J74" s="36">
        <f t="shared" si="52"/>
        <v>0.244514106583072</v>
      </c>
      <c r="K74" s="35">
        <v>79.9</v>
      </c>
      <c r="L74" s="36">
        <f t="shared" si="53"/>
        <v>0.25</v>
      </c>
      <c r="M74" s="35">
        <v>80.05</v>
      </c>
      <c r="N74" s="36">
        <f t="shared" si="54"/>
        <v>0.25078125</v>
      </c>
      <c r="O74" s="35">
        <v>80.25</v>
      </c>
      <c r="P74" s="36">
        <f t="shared" si="55"/>
        <v>0.24611801242236</v>
      </c>
      <c r="Q74" s="175"/>
      <c r="R74" s="127"/>
      <c r="S74" s="35">
        <f t="shared" si="56"/>
        <v>557.45</v>
      </c>
      <c r="T74" s="132">
        <f t="shared" si="57"/>
        <v>0.0908148090169065</v>
      </c>
      <c r="U74" s="35"/>
      <c r="V74" s="35">
        <v>63.6</v>
      </c>
      <c r="W74" s="36">
        <f t="shared" si="58"/>
        <v>0.0284605433376455</v>
      </c>
      <c r="X74" s="35">
        <v>63.56</v>
      </c>
      <c r="Y74" s="36">
        <f t="shared" si="59"/>
        <v>0.0264857881136951</v>
      </c>
      <c r="Z74" s="35">
        <v>63.64</v>
      </c>
      <c r="AA74" s="36">
        <f t="shared" si="60"/>
        <v>0.0284421460892048</v>
      </c>
      <c r="AB74" s="35">
        <v>63.8</v>
      </c>
      <c r="AC74" s="36">
        <f t="shared" si="61"/>
        <v>0.0303617571059431</v>
      </c>
      <c r="AD74" s="35">
        <v>63.92</v>
      </c>
      <c r="AE74" s="36">
        <f t="shared" si="62"/>
        <v>0.0316333118140737</v>
      </c>
      <c r="AF74" s="35">
        <v>64</v>
      </c>
      <c r="AG74" s="36">
        <f t="shared" si="63"/>
        <v>0.032258064516129</v>
      </c>
      <c r="AH74" s="35">
        <v>64.4</v>
      </c>
      <c r="AI74" s="36">
        <f t="shared" si="64"/>
        <v>-0.256608565162184</v>
      </c>
      <c r="AJ74" s="35">
        <v>64.12</v>
      </c>
      <c r="AK74" s="36">
        <f t="shared" si="65"/>
        <v>-0.260267651130595</v>
      </c>
      <c r="AL74" s="35">
        <v>64.16</v>
      </c>
      <c r="AM74" s="36">
        <f t="shared" si="66"/>
        <v>0.0282051282051281</v>
      </c>
      <c r="AN74" s="35">
        <v>64</v>
      </c>
      <c r="AO74" s="36">
        <f t="shared" si="67"/>
        <v>0.0315925209542232</v>
      </c>
      <c r="AP74" s="35">
        <v>63.2</v>
      </c>
      <c r="AQ74" s="36">
        <f t="shared" si="68"/>
        <v>0.0200129115558425</v>
      </c>
      <c r="AR74" s="35">
        <v>63.4</v>
      </c>
      <c r="AS74" s="36">
        <f t="shared" si="69"/>
        <v>0.0325732899022801</v>
      </c>
      <c r="AT74" s="35">
        <f t="shared" si="70"/>
        <v>765.8</v>
      </c>
      <c r="AU74" s="36">
        <f t="shared" si="71"/>
        <v>-0.0338493370172713</v>
      </c>
      <c r="AV74" s="196"/>
      <c r="AW74" s="35">
        <v>61.84</v>
      </c>
      <c r="AX74" s="36"/>
      <c r="AY74" s="35">
        <v>61.92</v>
      </c>
      <c r="AZ74" s="36"/>
      <c r="BA74" s="35">
        <v>61.88</v>
      </c>
      <c r="BB74" s="36"/>
      <c r="BC74" s="35">
        <v>61.92</v>
      </c>
      <c r="BD74" s="36"/>
      <c r="BE74" s="199">
        <v>61.96</v>
      </c>
      <c r="BF74" s="36"/>
      <c r="BG74" s="199">
        <v>62</v>
      </c>
      <c r="BH74" s="36"/>
      <c r="BI74" s="199">
        <v>86.63</v>
      </c>
      <c r="BJ74" s="36"/>
      <c r="BK74" s="199">
        <v>86.68</v>
      </c>
      <c r="BL74" s="36"/>
      <c r="BM74" s="199">
        <v>62.4</v>
      </c>
      <c r="BN74" s="36"/>
      <c r="BO74" s="199">
        <v>62.04</v>
      </c>
      <c r="BP74" s="37"/>
      <c r="BQ74" s="199">
        <v>61.96</v>
      </c>
      <c r="BR74" s="37"/>
      <c r="BS74" s="199">
        <v>61.4</v>
      </c>
      <c r="BT74" s="37"/>
      <c r="BU74" s="35">
        <f t="shared" si="72"/>
        <v>792.63</v>
      </c>
      <c r="BV74" s="36"/>
      <c r="BW74" s="40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4"/>
    </row>
    <row r="75" s="170" customFormat="1" ht="27" customHeight="1" spans="1:88">
      <c r="A75" s="45"/>
      <c r="B75" s="193" t="s">
        <v>280</v>
      </c>
      <c r="C75" s="35">
        <v>13.45</v>
      </c>
      <c r="D75" s="36">
        <f t="shared" si="49"/>
        <v>-0.00370370370370376</v>
      </c>
      <c r="E75" s="35">
        <v>13.48</v>
      </c>
      <c r="F75" s="36">
        <f t="shared" si="50"/>
        <v>-0.000741289844329085</v>
      </c>
      <c r="G75" s="35">
        <v>13.49</v>
      </c>
      <c r="H75" s="36">
        <f t="shared" si="51"/>
        <v>-0.00148038490007396</v>
      </c>
      <c r="I75" s="35">
        <v>13.5</v>
      </c>
      <c r="J75" s="36">
        <f t="shared" si="52"/>
        <v>-0.00369003690036906</v>
      </c>
      <c r="K75" s="35">
        <v>13.6</v>
      </c>
      <c r="L75" s="36">
        <f t="shared" si="53"/>
        <v>0.00147275405007363</v>
      </c>
      <c r="M75" s="35">
        <v>13.62</v>
      </c>
      <c r="N75" s="36">
        <f t="shared" si="54"/>
        <v>0.00147058823529411</v>
      </c>
      <c r="O75" s="35">
        <v>13.63</v>
      </c>
      <c r="P75" s="36">
        <f t="shared" si="55"/>
        <v>0.000734214390602173</v>
      </c>
      <c r="Q75" s="175"/>
      <c r="R75" s="127"/>
      <c r="S75" s="35">
        <f t="shared" si="56"/>
        <v>94.77</v>
      </c>
      <c r="T75" s="132">
        <f t="shared" si="57"/>
        <v>-0.126382743362832</v>
      </c>
      <c r="U75" s="35"/>
      <c r="V75" s="35">
        <v>13.5</v>
      </c>
      <c r="W75" s="36">
        <f t="shared" si="58"/>
        <v>0.0227272727272727</v>
      </c>
      <c r="X75" s="35">
        <v>13.49</v>
      </c>
      <c r="Y75" s="36">
        <f t="shared" si="59"/>
        <v>0.0204236006051437</v>
      </c>
      <c r="Z75" s="35">
        <v>13.51</v>
      </c>
      <c r="AA75" s="36">
        <f t="shared" si="60"/>
        <v>0.0234848484848484</v>
      </c>
      <c r="AB75" s="35">
        <v>13.55</v>
      </c>
      <c r="AC75" s="36">
        <f t="shared" si="61"/>
        <v>0.0241874527588815</v>
      </c>
      <c r="AD75" s="35">
        <v>13.58</v>
      </c>
      <c r="AE75" s="36">
        <f t="shared" si="62"/>
        <v>0.0256797583081572</v>
      </c>
      <c r="AF75" s="35">
        <v>13.6</v>
      </c>
      <c r="AG75" s="36">
        <f t="shared" si="63"/>
        <v>0.0256410256410255</v>
      </c>
      <c r="AH75" s="35">
        <v>13.62</v>
      </c>
      <c r="AI75" s="36">
        <f t="shared" si="64"/>
        <v>0.0476923076923077</v>
      </c>
      <c r="AJ75" s="35">
        <v>13.63</v>
      </c>
      <c r="AK75" s="36">
        <f t="shared" si="65"/>
        <v>0.0404580152671756</v>
      </c>
      <c r="AL75" s="35">
        <v>13.64</v>
      </c>
      <c r="AM75" s="36">
        <f t="shared" si="66"/>
        <v>0.0271084337349399</v>
      </c>
      <c r="AN75" s="35">
        <v>13.6</v>
      </c>
      <c r="AO75" s="36">
        <f t="shared" si="67"/>
        <v>0.0264150943396226</v>
      </c>
      <c r="AP75" s="35">
        <v>13.45</v>
      </c>
      <c r="AQ75" s="36">
        <f t="shared" si="68"/>
        <v>0.0181680545041634</v>
      </c>
      <c r="AR75" s="35">
        <v>13.47</v>
      </c>
      <c r="AS75" s="36">
        <f t="shared" si="69"/>
        <v>0.0243346007604563</v>
      </c>
      <c r="AT75" s="35">
        <f t="shared" si="70"/>
        <v>162.64</v>
      </c>
      <c r="AU75" s="36">
        <f t="shared" si="71"/>
        <v>0.027156751294682</v>
      </c>
      <c r="AV75" s="196"/>
      <c r="AW75" s="35">
        <v>13.2</v>
      </c>
      <c r="AX75" s="36"/>
      <c r="AY75" s="35">
        <v>13.22</v>
      </c>
      <c r="AZ75" s="36"/>
      <c r="BA75" s="35">
        <v>13.2</v>
      </c>
      <c r="BB75" s="36"/>
      <c r="BC75" s="35">
        <v>13.23</v>
      </c>
      <c r="BD75" s="36"/>
      <c r="BE75" s="199">
        <v>13.24</v>
      </c>
      <c r="BF75" s="36"/>
      <c r="BG75" s="199">
        <v>13.26</v>
      </c>
      <c r="BH75" s="36"/>
      <c r="BI75" s="199">
        <v>13</v>
      </c>
      <c r="BJ75" s="36"/>
      <c r="BK75" s="199">
        <v>13.1</v>
      </c>
      <c r="BL75" s="36"/>
      <c r="BM75" s="199">
        <v>13.28</v>
      </c>
      <c r="BN75" s="36"/>
      <c r="BO75" s="199">
        <v>13.25</v>
      </c>
      <c r="BP75" s="37"/>
      <c r="BQ75" s="199">
        <v>13.21</v>
      </c>
      <c r="BR75" s="37"/>
      <c r="BS75" s="199">
        <v>13.15</v>
      </c>
      <c r="BT75" s="37"/>
      <c r="BU75" s="35">
        <f t="shared" si="72"/>
        <v>158.34</v>
      </c>
      <c r="BV75" s="36"/>
      <c r="BW75" s="40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4"/>
    </row>
    <row r="76" s="170" customFormat="1" ht="27" customHeight="1" spans="1:88">
      <c r="A76" s="29"/>
      <c r="B76" s="193" t="s">
        <v>276</v>
      </c>
      <c r="C76" s="35">
        <v>53.8</v>
      </c>
      <c r="D76" s="36">
        <f t="shared" si="49"/>
        <v>0.138624338624339</v>
      </c>
      <c r="E76" s="35">
        <v>53.92</v>
      </c>
      <c r="F76" s="36">
        <f t="shared" si="50"/>
        <v>0.141889030072003</v>
      </c>
      <c r="G76" s="35">
        <v>53.96</v>
      </c>
      <c r="H76" s="36">
        <f t="shared" si="51"/>
        <v>0.14104461831254</v>
      </c>
      <c r="I76" s="35">
        <v>54</v>
      </c>
      <c r="J76" s="36">
        <f t="shared" si="52"/>
        <v>0.138519924098672</v>
      </c>
      <c r="K76" s="35">
        <v>54.4</v>
      </c>
      <c r="L76" s="36">
        <f t="shared" si="53"/>
        <v>0.144540290342941</v>
      </c>
      <c r="M76" s="35">
        <v>54.48</v>
      </c>
      <c r="N76" s="36">
        <f t="shared" si="54"/>
        <v>0.14453781512605</v>
      </c>
      <c r="O76" s="35">
        <v>54.52</v>
      </c>
      <c r="P76" s="36">
        <f t="shared" si="55"/>
        <v>0.143696245017831</v>
      </c>
      <c r="Q76" s="175"/>
      <c r="R76" s="127"/>
      <c r="S76" s="35">
        <f t="shared" si="56"/>
        <v>379.08</v>
      </c>
      <c r="T76" s="132">
        <f t="shared" si="57"/>
        <v>-0.00163286805372664</v>
      </c>
      <c r="U76" s="35"/>
      <c r="V76" s="35">
        <v>47.25</v>
      </c>
      <c r="W76" s="36">
        <f t="shared" si="58"/>
        <v>0.0227272727272727</v>
      </c>
      <c r="X76" s="35">
        <v>47.22</v>
      </c>
      <c r="Y76" s="36">
        <f t="shared" si="59"/>
        <v>0.0205316619840068</v>
      </c>
      <c r="Z76" s="35">
        <v>47.29</v>
      </c>
      <c r="AA76" s="36">
        <f t="shared" si="60"/>
        <v>0.0235930735930736</v>
      </c>
      <c r="AB76" s="35">
        <v>47.43</v>
      </c>
      <c r="AC76" s="36">
        <f t="shared" si="61"/>
        <v>0.024184841286979</v>
      </c>
      <c r="AD76" s="35">
        <v>47.53</v>
      </c>
      <c r="AE76" s="36">
        <f t="shared" si="62"/>
        <v>0.0256797583081569</v>
      </c>
      <c r="AF76" s="35">
        <v>47.6</v>
      </c>
      <c r="AG76" s="36">
        <f t="shared" si="63"/>
        <v>0.0256410256410258</v>
      </c>
      <c r="AH76" s="35">
        <v>47.67</v>
      </c>
      <c r="AI76" s="36">
        <f t="shared" si="64"/>
        <v>0.0476923076923077</v>
      </c>
      <c r="AJ76" s="35">
        <v>47.71</v>
      </c>
      <c r="AK76" s="36">
        <f t="shared" si="65"/>
        <v>0.040567066521265</v>
      </c>
      <c r="AL76" s="35">
        <v>47.74</v>
      </c>
      <c r="AM76" s="36">
        <f t="shared" si="66"/>
        <v>0.0271084337349399</v>
      </c>
      <c r="AN76" s="35">
        <v>47.6</v>
      </c>
      <c r="AO76" s="36">
        <f t="shared" si="67"/>
        <v>0.0263044415696421</v>
      </c>
      <c r="AP76" s="35">
        <v>47.08</v>
      </c>
      <c r="AQ76" s="36">
        <f t="shared" si="68"/>
        <v>0.0181660899653979</v>
      </c>
      <c r="AR76" s="35">
        <v>47.15</v>
      </c>
      <c r="AS76" s="36">
        <f t="shared" si="69"/>
        <v>0.0243319574190746</v>
      </c>
      <c r="AT76" s="35">
        <f t="shared" si="70"/>
        <v>569.27</v>
      </c>
      <c r="AU76" s="36">
        <f t="shared" si="71"/>
        <v>0.0271738149798813</v>
      </c>
      <c r="AV76" s="196"/>
      <c r="AW76" s="35">
        <v>46.2</v>
      </c>
      <c r="AX76" s="36"/>
      <c r="AY76" s="35">
        <v>46.27</v>
      </c>
      <c r="AZ76" s="36"/>
      <c r="BA76" s="35">
        <v>46.2</v>
      </c>
      <c r="BB76" s="36"/>
      <c r="BC76" s="35">
        <v>46.31</v>
      </c>
      <c r="BD76" s="36"/>
      <c r="BE76" s="199">
        <v>46.34</v>
      </c>
      <c r="BF76" s="36"/>
      <c r="BG76" s="199">
        <v>46.41</v>
      </c>
      <c r="BH76" s="36"/>
      <c r="BI76" s="199">
        <v>45.5</v>
      </c>
      <c r="BJ76" s="36"/>
      <c r="BK76" s="199">
        <v>45.85</v>
      </c>
      <c r="BL76" s="36"/>
      <c r="BM76" s="199">
        <v>46.48</v>
      </c>
      <c r="BN76" s="36"/>
      <c r="BO76" s="199">
        <v>46.38</v>
      </c>
      <c r="BP76" s="37"/>
      <c r="BQ76" s="199">
        <v>46.24</v>
      </c>
      <c r="BR76" s="37"/>
      <c r="BS76" s="199">
        <v>46.03</v>
      </c>
      <c r="BT76" s="37"/>
      <c r="BU76" s="35">
        <f t="shared" si="72"/>
        <v>554.21</v>
      </c>
      <c r="BV76" s="36"/>
      <c r="BW76" s="40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4"/>
    </row>
    <row r="77" s="170" customFormat="1" spans="1:88">
      <c r="A77" s="201"/>
      <c r="B77" s="202"/>
      <c r="C77" s="203"/>
      <c r="D77" s="133"/>
      <c r="E77" s="20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75"/>
      <c r="R77" s="127"/>
      <c r="S77" s="203"/>
      <c r="T77" s="133"/>
      <c r="U77" s="204"/>
      <c r="V77" s="203"/>
      <c r="W77" s="133"/>
      <c r="X77" s="203"/>
      <c r="Y77" s="133"/>
      <c r="Z77" s="203"/>
      <c r="AA77" s="133"/>
      <c r="AB77" s="203"/>
      <c r="AC77" s="133"/>
      <c r="AD77" s="203"/>
      <c r="AE77" s="133"/>
      <c r="AF77" s="203"/>
      <c r="AG77" s="133"/>
      <c r="AH77" s="203"/>
      <c r="AI77" s="133"/>
      <c r="AJ77" s="203"/>
      <c r="AK77" s="133"/>
      <c r="AL77" s="203"/>
      <c r="AM77" s="133"/>
      <c r="AN77" s="203"/>
      <c r="AO77" s="133"/>
      <c r="AP77" s="203"/>
      <c r="AQ77" s="133"/>
      <c r="AR77" s="203"/>
      <c r="AS77" s="133"/>
      <c r="AT77" s="203"/>
      <c r="AU77" s="133"/>
      <c r="AV77" s="196"/>
      <c r="BC77" s="127"/>
      <c r="BD77" s="151"/>
      <c r="BE77" s="5"/>
      <c r="BF77" s="6"/>
      <c r="BG77" s="5"/>
      <c r="BH77" s="6"/>
      <c r="BI77" s="5"/>
      <c r="BJ77" s="6"/>
      <c r="BK77" s="5"/>
      <c r="BL77" s="6"/>
      <c r="BM77" s="5"/>
      <c r="BN77" s="6"/>
    </row>
  </sheetData>
  <autoFilter xmlns:etc="http://www.wps.cn/officeDocument/2017/etCustomData" ref="A3:CH76" etc:filterBottomFollowUsedRange="0">
    <extLst/>
  </autoFilter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C5" activePane="bottomRight" state="frozen"/>
      <selection/>
      <selection pane="topRight"/>
      <selection pane="bottomLeft"/>
      <selection pane="bottomRight" activeCell="C3" sqref="C$1:C$1048576"/>
    </sheetView>
  </sheetViews>
  <sheetFormatPr defaultColWidth="8.88888888888889" defaultRowHeight="14.4"/>
  <cols>
    <col min="1" max="1" width="7.77777777777778" style="16" customWidth="1"/>
    <col min="2" max="2" width="16.5555555555556" style="16" customWidth="1"/>
    <col min="3" max="3" width="11" style="16" customWidth="1"/>
    <col min="4" max="4" width="9.88888888888889" style="16" hidden="1" customWidth="1"/>
    <col min="5" max="5" width="11" style="16" customWidth="1"/>
    <col min="6" max="6" width="9.88888888888889" style="16" hidden="1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2" style="16" customWidth="1"/>
    <col min="20" max="20" width="9.88888888888889" style="16" customWidth="1"/>
    <col min="21" max="21" width="11.5555555555556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9.88888888888889" style="16" customWidth="1"/>
    <col min="26" max="26" width="11" style="16" customWidth="1"/>
    <col min="27" max="27" width="11.3333333333333" style="16" customWidth="1"/>
    <col min="28" max="28" width="11" style="16" customWidth="1"/>
    <col min="29" max="29" width="11.3333333333333" style="16" customWidth="1"/>
    <col min="30" max="30" width="11" style="16" customWidth="1"/>
    <col min="31" max="31" width="11.3333333333333" style="16" customWidth="1"/>
    <col min="32" max="32" width="11" style="16" customWidth="1"/>
    <col min="33" max="33" width="11.3333333333333" style="16" customWidth="1"/>
    <col min="34" max="34" width="11" style="16" customWidth="1"/>
    <col min="35" max="35" width="11.3333333333333" style="16" customWidth="1"/>
    <col min="36" max="36" width="11" style="16" customWidth="1"/>
    <col min="37" max="37" width="11.3333333333333" style="16" customWidth="1"/>
    <col min="38" max="38" width="11" style="16" customWidth="1"/>
    <col min="39" max="39" width="11.3333333333333" style="16" customWidth="1"/>
    <col min="40" max="40" width="11" style="16" customWidth="1"/>
    <col min="41" max="41" width="11.3333333333333" style="16" customWidth="1"/>
    <col min="42" max="42" width="11" style="16" customWidth="1"/>
    <col min="43" max="43" width="11.3333333333333" style="16" customWidth="1"/>
    <col min="44" max="44" width="11" style="16" customWidth="1"/>
    <col min="45" max="45" width="11.3333333333333" style="16" customWidth="1"/>
    <col min="46" max="46" width="13" style="16" customWidth="1"/>
    <col min="47" max="47" width="9.88888888888889" style="16" customWidth="1"/>
    <col min="48" max="48" width="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.4444444444444" style="16" customWidth="1"/>
    <col min="58" max="58" width="8.88888888888889" style="16" customWidth="1"/>
    <col min="59" max="59" width="11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2.3333333333333" style="16" customWidth="1"/>
    <col min="74" max="74" width="8.88888888888889" style="16" customWidth="1"/>
    <col min="76" max="87" width="11" style="16" customWidth="1"/>
    <col min="88" max="88" width="13" style="16" customWidth="1"/>
    <col min="89" max="89" width="8.88888888888889" style="16" customWidth="1"/>
  </cols>
  <sheetData>
    <row r="1" ht="15.15" spans="1:88">
      <c r="A1" s="152" t="s">
        <v>281</v>
      </c>
      <c r="BN1" s="153"/>
      <c r="BO1" s="154"/>
      <c r="BP1" s="153"/>
      <c r="BQ1" s="154"/>
      <c r="BR1" s="155"/>
      <c r="BS1" s="154"/>
      <c r="BT1" s="155"/>
      <c r="BU1" s="154"/>
      <c r="BV1" s="155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</row>
    <row r="2" ht="37.95" customHeight="1" spans="1:88">
      <c r="BN2" s="156"/>
      <c r="BO2" s="154"/>
      <c r="BP2" s="156"/>
      <c r="BQ2" s="154"/>
      <c r="BR2" s="155"/>
      <c r="BS2" s="154"/>
      <c r="BT2" s="155"/>
      <c r="BU2" s="154"/>
      <c r="BV2" s="155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54"/>
      <c r="CH2" s="154"/>
      <c r="CI2" s="154"/>
      <c r="CJ2" s="154"/>
    </row>
    <row r="3" ht="46.05" customHeight="1" spans="1:88">
      <c r="A3" s="141" t="s">
        <v>1</v>
      </c>
      <c r="B3" s="142" t="s">
        <v>2</v>
      </c>
      <c r="C3" s="143" t="s">
        <v>151</v>
      </c>
      <c r="D3" s="144" t="s">
        <v>3</v>
      </c>
      <c r="E3" s="143" t="s">
        <v>197</v>
      </c>
      <c r="F3" s="144" t="s">
        <v>4</v>
      </c>
      <c r="G3" s="143" t="s">
        <v>198</v>
      </c>
      <c r="H3" s="144" t="s">
        <v>5</v>
      </c>
      <c r="I3" s="143" t="s">
        <v>199</v>
      </c>
      <c r="J3" s="144" t="s">
        <v>6</v>
      </c>
      <c r="K3" s="143" t="s">
        <v>200</v>
      </c>
      <c r="L3" s="144" t="s">
        <v>7</v>
      </c>
      <c r="M3" s="143" t="s">
        <v>201</v>
      </c>
      <c r="N3" s="144" t="s">
        <v>8</v>
      </c>
      <c r="O3" s="143" t="s">
        <v>202</v>
      </c>
      <c r="P3" s="144" t="s">
        <v>9</v>
      </c>
      <c r="Q3" s="143" t="s">
        <v>203</v>
      </c>
      <c r="R3" s="144" t="s">
        <v>10</v>
      </c>
      <c r="S3" s="143" t="s">
        <v>204</v>
      </c>
      <c r="T3" s="144" t="s">
        <v>205</v>
      </c>
      <c r="U3" s="144"/>
      <c r="V3" s="143" t="s">
        <v>13</v>
      </c>
      <c r="W3" s="144" t="s">
        <v>3</v>
      </c>
      <c r="X3" s="143" t="s">
        <v>14</v>
      </c>
      <c r="Y3" s="144" t="s">
        <v>4</v>
      </c>
      <c r="Z3" s="143" t="s">
        <v>15</v>
      </c>
      <c r="AA3" s="144" t="s">
        <v>5</v>
      </c>
      <c r="AB3" s="143" t="s">
        <v>16</v>
      </c>
      <c r="AC3" s="144" t="s">
        <v>6</v>
      </c>
      <c r="AD3" s="143" t="s">
        <v>17</v>
      </c>
      <c r="AE3" s="144" t="s">
        <v>7</v>
      </c>
      <c r="AF3" s="143" t="s">
        <v>18</v>
      </c>
      <c r="AG3" s="144" t="s">
        <v>8</v>
      </c>
      <c r="AH3" s="143" t="s">
        <v>19</v>
      </c>
      <c r="AI3" s="144" t="s">
        <v>9</v>
      </c>
      <c r="AJ3" s="143" t="s">
        <v>20</v>
      </c>
      <c r="AK3" s="144" t="s">
        <v>10</v>
      </c>
      <c r="AL3" s="143" t="s">
        <v>21</v>
      </c>
      <c r="AM3" s="144" t="s">
        <v>22</v>
      </c>
      <c r="AN3" s="143" t="s">
        <v>23</v>
      </c>
      <c r="AO3" s="144" t="s">
        <v>24</v>
      </c>
      <c r="AP3" s="143" t="s">
        <v>25</v>
      </c>
      <c r="AQ3" s="144" t="s">
        <v>26</v>
      </c>
      <c r="AR3" s="143" t="s">
        <v>27</v>
      </c>
      <c r="AS3" s="144" t="s">
        <v>28</v>
      </c>
      <c r="AT3" s="144" t="s">
        <v>29</v>
      </c>
      <c r="AU3" s="144" t="s">
        <v>44</v>
      </c>
      <c r="AV3" s="157"/>
      <c r="AW3" s="143" t="s">
        <v>31</v>
      </c>
      <c r="AX3" s="144" t="s">
        <v>3</v>
      </c>
      <c r="AY3" s="143" t="s">
        <v>32</v>
      </c>
      <c r="AZ3" s="144" t="s">
        <v>4</v>
      </c>
      <c r="BA3" s="143" t="s">
        <v>33</v>
      </c>
      <c r="BB3" s="144" t="s">
        <v>5</v>
      </c>
      <c r="BC3" s="143" t="s">
        <v>34</v>
      </c>
      <c r="BD3" s="144" t="s">
        <v>6</v>
      </c>
      <c r="BE3" s="143" t="s">
        <v>35</v>
      </c>
      <c r="BF3" s="144" t="s">
        <v>7</v>
      </c>
      <c r="BG3" s="143" t="s">
        <v>36</v>
      </c>
      <c r="BH3" s="144" t="s">
        <v>8</v>
      </c>
      <c r="BI3" s="143" t="s">
        <v>37</v>
      </c>
      <c r="BJ3" s="144" t="s">
        <v>9</v>
      </c>
      <c r="BK3" s="143" t="s">
        <v>38</v>
      </c>
      <c r="BL3" s="144" t="s">
        <v>10</v>
      </c>
      <c r="BM3" s="143" t="s">
        <v>39</v>
      </c>
      <c r="BN3" s="158" t="s">
        <v>22</v>
      </c>
      <c r="BO3" s="159" t="s">
        <v>40</v>
      </c>
      <c r="BP3" s="158" t="s">
        <v>24</v>
      </c>
      <c r="BQ3" s="159" t="s">
        <v>41</v>
      </c>
      <c r="BR3" s="158" t="s">
        <v>26</v>
      </c>
      <c r="BS3" s="159" t="s">
        <v>42</v>
      </c>
      <c r="BT3" s="158" t="s">
        <v>28</v>
      </c>
      <c r="BU3" s="158" t="s">
        <v>51</v>
      </c>
      <c r="BV3" s="158" t="s">
        <v>44</v>
      </c>
      <c r="BW3" s="160"/>
      <c r="BX3" s="159" t="s">
        <v>45</v>
      </c>
      <c r="BY3" s="159" t="s">
        <v>46</v>
      </c>
      <c r="BZ3" s="159" t="s">
        <v>47</v>
      </c>
      <c r="CA3" s="159" t="s">
        <v>48</v>
      </c>
      <c r="CB3" s="159" t="s">
        <v>49</v>
      </c>
      <c r="CC3" s="159" t="s">
        <v>50</v>
      </c>
      <c r="CD3" s="159" t="s">
        <v>152</v>
      </c>
      <c r="CE3" s="159" t="s">
        <v>153</v>
      </c>
      <c r="CF3" s="159" t="s">
        <v>154</v>
      </c>
      <c r="CG3" s="159" t="s">
        <v>270</v>
      </c>
      <c r="CH3" s="159" t="s">
        <v>271</v>
      </c>
      <c r="CI3" s="159" t="s">
        <v>272</v>
      </c>
      <c r="CJ3" s="158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29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161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160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ht="28.05" customHeight="1" spans="1:88">
      <c r="A5" s="141" t="s">
        <v>80</v>
      </c>
      <c r="B5" s="141" t="s">
        <v>282</v>
      </c>
      <c r="C5" s="103">
        <f>C9+C13+C17+C21+C25+C29+C33+C37+C41+C45+C49+C53+C57+C61+C65+C69+C73</f>
        <v>3802.80000000001</v>
      </c>
      <c r="D5" s="104">
        <f t="shared" ref="D5:D36" si="0">C5/V5-1</f>
        <v>0.540973907828465</v>
      </c>
      <c r="E5" s="103">
        <f>E9+E13+E17+E21+E25+E29+E33+E37+E41+E45+E49+E53+E57+E61+E65+E69+E73</f>
        <v>3344.48</v>
      </c>
      <c r="F5" s="104">
        <f t="shared" ref="F5:F36" si="1">E5/X5-1</f>
        <v>0.479118847655822</v>
      </c>
      <c r="G5" s="103">
        <f>G9+G13+G17+G21+G25+G29+G33+G37+G41+G45+G49+G53+G57+G61+G65+G69+G73</f>
        <v>4150.5</v>
      </c>
      <c r="H5" s="104">
        <f t="shared" ref="H5:H36" si="2">G5/Z5-1</f>
        <v>0.55370298275036</v>
      </c>
      <c r="I5" s="103">
        <f>I9+I13+I17+I21+I25+I29+I33+I37+I41+I45+I49+I53+I57+I61+I65+I69+I73</f>
        <v>4044.18</v>
      </c>
      <c r="J5" s="104">
        <f t="shared" ref="J5:J36" si="3">I5/AB5-1</f>
        <v>0.383207297427639</v>
      </c>
      <c r="K5" s="103">
        <f>K9+K13+K17+K21+K25+K29+K33+K37+K41+K45+K49+K53+K57+K61+K65+K69+K73</f>
        <v>4300.95</v>
      </c>
      <c r="L5" s="104">
        <f t="shared" ref="L5:L36" si="4">K5/AD5-1</f>
        <v>0.398614701721866</v>
      </c>
      <c r="M5" s="103">
        <v>4371.99</v>
      </c>
      <c r="N5" s="104">
        <f t="shared" ref="N5:N36" si="5">M5/AF5-1</f>
        <v>0.464717056354211</v>
      </c>
      <c r="O5" s="103">
        <v>4852.3</v>
      </c>
      <c r="P5" s="104">
        <f t="shared" ref="P5:P36" si="6">O5/AH5-1</f>
        <v>0.597496576064052</v>
      </c>
      <c r="Q5" s="127"/>
      <c r="R5" s="127"/>
      <c r="S5" s="103">
        <f t="shared" ref="S5:S36" si="7">C5+E5+G5+I5+K5+M5+O5+Q5</f>
        <v>28867.2</v>
      </c>
      <c r="T5" s="104">
        <f t="shared" ref="T5:T36" si="8">S5/SUM(V5+X5+Z5+AB5+AD5+AF5+AH5+AJ5)-1</f>
        <v>0.28446465733237</v>
      </c>
      <c r="U5" s="103"/>
      <c r="V5" s="103">
        <f>V9+V13+V17+V21+V25+V29+V33+V37+V41+V45+V49+V53+V57+V61+V65+V69+V73</f>
        <v>2467.79</v>
      </c>
      <c r="W5" s="104">
        <f t="shared" ref="W5:W36" si="9">V5/AW5-1</f>
        <v>-0.170387577614695</v>
      </c>
      <c r="X5" s="103">
        <f>X9+X13+X17+X21+X25+X29+X33+X37+X41+X45+X49+X53+X57+X61+X65+X69+X73</f>
        <v>2261.13</v>
      </c>
      <c r="Y5" s="104">
        <f t="shared" ref="Y5:Y36" si="10">X5/AY5-1</f>
        <v>0.0650234564877425</v>
      </c>
      <c r="Z5" s="103">
        <f>Z9+Z13+Z17+Z21+Z25+Z29+Z33+Z37+Z41+Z45+Z49+Z53+Z57+Z61+Z65+Z69+Z73</f>
        <v>2671.36</v>
      </c>
      <c r="AA5" s="104">
        <f t="shared" ref="AA5:AA36" si="11">Z5/BA5-1</f>
        <v>-0.0530618032292958</v>
      </c>
      <c r="AB5" s="103">
        <f>AB9+AB13+AB17+AB21+AB25+AB29+AB33+AB37+AB41+AB45+AB49+AB53+AB57+AB61+AB65+AB69+AB73</f>
        <v>2923.76999999999</v>
      </c>
      <c r="AC5" s="104">
        <f t="shared" ref="AC5:AC36" si="12">AB5/BC5-1</f>
        <v>-0.0218364424698256</v>
      </c>
      <c r="AD5" s="103">
        <f>AD9+AD13+AD17+AD21+AD25+AD29+AD33+AD37+AD41+AD45+AD49+AD53+AD57+AD61+AD65+AD69+AD73</f>
        <v>3075.15000000001</v>
      </c>
      <c r="AE5" s="104">
        <f t="shared" ref="AE5:AE36" si="13">AD5/BE5-1</f>
        <v>0.020193877144792</v>
      </c>
      <c r="AF5" s="103">
        <f>AF9+AF13+AF17+AF21+AF25+AF29+AF33+AF37+AF41+AF45+AF49+AF53+AF57+AF61+AF65+AF69+AF73</f>
        <v>2984.87</v>
      </c>
      <c r="AG5" s="104">
        <f t="shared" ref="AG5:AG36" si="14">AF5/BG5-1</f>
        <v>-0.0971464350098586</v>
      </c>
      <c r="AH5" s="103">
        <f>AH9+AH13+AH17+AH21+AH25+AH29+AH33+AH37+AH41+AH45+AH49+AH53+AH57+AH61+AH65+AH69+AH73</f>
        <v>3037.44</v>
      </c>
      <c r="AI5" s="104">
        <f t="shared" ref="AI5:AI36" si="15">AH5/BI5-1</f>
        <v>-0.031672505969478</v>
      </c>
      <c r="AJ5" s="103">
        <f>AJ9+AJ13+AJ17+AJ21+AJ25+AJ29+AJ33+AJ37+AJ41+AJ45+AJ49+AJ53+AJ57+AJ61+AJ65+AJ69+AJ73</f>
        <v>3052.6</v>
      </c>
      <c r="AK5" s="104">
        <f t="shared" ref="AK5:AK36" si="16">AJ5/BK5-1</f>
        <v>-0.0405546842341806</v>
      </c>
      <c r="AL5" s="103">
        <f>AL9+AL13+AL17+AL21+AL25+AL29+AL33+AL37+AL41+AL45+AL49+AL53+AL57+AL61+AL65+AL69+AL73</f>
        <v>2794.31</v>
      </c>
      <c r="AM5" s="104">
        <f t="shared" ref="AM5:AM36" si="17">AL5/BM5-1</f>
        <v>-0.0454733332650142</v>
      </c>
      <c r="AN5" s="103">
        <f>AN9+AN13+AN17+AN21+AN25+AN29+AN33+AN37+AN41+AN45+AN49+AN53+AN57+AN61+AN65+AN69+AN73</f>
        <v>3338.59</v>
      </c>
      <c r="AO5" s="104">
        <f t="shared" ref="AO5:AO36" si="18">AN5/BO5-1</f>
        <v>0.111311202021178</v>
      </c>
      <c r="AP5" s="103">
        <f>AP9+AP13+AP17+AP21+AP25+AP29+AP33+AP37+AP41+AP45+AP49+AP53+AP57+AP61+AP65+AP69+AP73</f>
        <v>3166.51</v>
      </c>
      <c r="AQ5" s="104">
        <f t="shared" ref="AQ5:AQ36" si="19">AP5/BQ5-1</f>
        <v>0.120071735300983</v>
      </c>
      <c r="AR5" s="103">
        <f>AR9+AR13+AR17+AR21+AR25+AR29+AR33+AR37+AR41+AR45+AR49+AR53+AR57+AR61+AR65+AR69+AR73</f>
        <v>3492.63</v>
      </c>
      <c r="AS5" s="104">
        <f t="shared" ref="AS5:AS36" si="20">AR5/BS5-1</f>
        <v>0.183068105603317</v>
      </c>
      <c r="AT5" s="103">
        <f t="shared" ref="AT5:AT36" si="21">V5+X5+Z5+AB5+AD5+AF5+AH5+AJ5+AL5+AN5+AP5+AR5</f>
        <v>35266.15</v>
      </c>
      <c r="AU5" s="104">
        <f t="shared" ref="AU5:AU36" si="22">AT5/SUM(AW5,AY5,BA5,BC5,BE5,BG5,BI5,BK5,BM5,BO5,BQ5,BS5)-1</f>
        <v>0.000248174851237071</v>
      </c>
      <c r="AV5" s="146"/>
      <c r="AW5" s="103">
        <f>AW9+AW13+AW17+AW21+AW25+AW29+AW33+AW37+AW41+AW45+AW49+AW53+AW57+AW61+AW65+AW69+AW73</f>
        <v>2974.63</v>
      </c>
      <c r="AX5" s="104">
        <f>AW5/BX5-1</f>
        <v>0.583243738090929</v>
      </c>
      <c r="AY5" s="103">
        <f>AY9+AY13+AY17+AY21+AY25+AY29+AY33+AY37+AY41+AY45+AY49+AY53+AY57+AY61+AY65+AY69+AY73</f>
        <v>2123.08</v>
      </c>
      <c r="AZ5" s="104">
        <f>AY5/BY5-1</f>
        <v>-0.0030569264506316</v>
      </c>
      <c r="BA5" s="103">
        <f>BA9+BA13+BA17+BA21+BA25+BA29+BA33+BA37+BA41+BA45+BA49+BA53+BA57+BA61+BA65+BA69+BA73</f>
        <v>2821.05</v>
      </c>
      <c r="BB5" s="104">
        <f>BA5/BZ5-1</f>
        <v>0.207160676614192</v>
      </c>
      <c r="BC5" s="103">
        <f>BC9+BC13+BC17+BC21+BC25+BC29+BC33+BC37+BC41+BC45+BC49+BC53+BC57+BC61+BC65+BC69+BC73</f>
        <v>2989.04</v>
      </c>
      <c r="BD5" s="104">
        <f>BC5/CA5-1</f>
        <v>0.29732638888889</v>
      </c>
      <c r="BE5" s="103">
        <f>BE9+BE13+BE17+BE21+BE25+BE29+BE33+BE37+BE41+BE45+BE49+BE53+BE57+BE61+BE65+BE69+BE73</f>
        <v>3014.28</v>
      </c>
      <c r="BF5" s="104">
        <f>BE5/CB5-1</f>
        <v>0.255782562325024</v>
      </c>
      <c r="BG5" s="103">
        <f>BG9+BG13+BG17+BG21+BG25+BG29+BG33+BG37+BG41+BG45+BG49+BG53+BG57+BG61+BG65+BG69+BG73</f>
        <v>3306.04</v>
      </c>
      <c r="BH5" s="104">
        <f>BG5/CC5-1</f>
        <v>0.328169630840801</v>
      </c>
      <c r="BI5" s="103">
        <f>BI9+BI13+BI17+BI21+BI25+BI29+BI33+BI37+BI41+BI45+BI49+BI53+BI57+BI61+BI65+BI69+BI73</f>
        <v>3136.79</v>
      </c>
      <c r="BJ5" s="104">
        <f>BI5/CD5-1</f>
        <v>0.171073263245925</v>
      </c>
      <c r="BK5" s="103">
        <f>BK9+BK13+BK17+BK21+BK25+BK29+BK33+BK37+BK41+BK45+BK49+BK53+BK57+BK61+BK65+BK69+BK73</f>
        <v>3181.63</v>
      </c>
      <c r="BL5" s="104">
        <f>BK5/CE5-1</f>
        <v>0.182401647081557</v>
      </c>
      <c r="BM5" s="103">
        <f>BM9+BM13+BM17+BM21+BM25+BM29+BM33+BM37+BM41+BM45+BM49+BM53+BM57+BM61+BM65+BM69+BM73</f>
        <v>2927.43</v>
      </c>
      <c r="BN5" s="104">
        <f>BM5/CF5-1</f>
        <v>0.131701942592057</v>
      </c>
      <c r="BO5" s="103">
        <f>BO9+BO13+BO17+BO21+BO25+BO29+BO33+BO37+BO41+BO45+BO49+BO53+BO57+BO61+BO65+BO69+BO73</f>
        <v>3004.19</v>
      </c>
      <c r="BP5" s="104">
        <f>BO5/CG5-1</f>
        <v>0.137377760446442</v>
      </c>
      <c r="BQ5" s="103">
        <f>BQ9+BQ13+BQ17+BQ21+BQ25+BQ29+BQ33+BQ37+BQ41+BQ45+BQ49+BQ53+BQ57+BQ61+BQ65+BQ69+BQ73</f>
        <v>2827.06</v>
      </c>
      <c r="BR5" s="104">
        <f>BQ5/CH5-1</f>
        <v>0.0494613597048061</v>
      </c>
      <c r="BS5" s="103">
        <f>BS9+BS13+BS17+BS21+BS25+BS29+BS33+BS37+BS41+BS45+BS49+BS53+BS57+BS61+BS65+BS69+BS73</f>
        <v>2952.18</v>
      </c>
      <c r="BT5" s="104">
        <f>BS5/CI5-1</f>
        <v>0.0115297769767655</v>
      </c>
      <c r="BU5" s="103">
        <f t="shared" ref="BU5:BU36" si="23">AW5+AY5+BA5+BC5+BE5+BG5+BI5+BK5+BM5+BO5+BQ5+BS5</f>
        <v>35257.4</v>
      </c>
      <c r="BV5" s="104">
        <f>BU5/CJ5-1</f>
        <v>0.185176868589623</v>
      </c>
      <c r="BW5" s="162"/>
      <c r="BX5" s="163">
        <v>1878.82</v>
      </c>
      <c r="BY5" s="163">
        <v>2129.59</v>
      </c>
      <c r="BZ5" s="163">
        <v>2336.93</v>
      </c>
      <c r="CA5" s="163">
        <v>2304</v>
      </c>
      <c r="CB5" s="163">
        <v>2400.32</v>
      </c>
      <c r="CC5" s="163">
        <v>2489.17</v>
      </c>
      <c r="CD5" s="163">
        <v>2678.56</v>
      </c>
      <c r="CE5" s="163">
        <v>2690.82</v>
      </c>
      <c r="CF5" s="163">
        <v>2586.75</v>
      </c>
      <c r="CG5" s="163">
        <v>2641.33</v>
      </c>
      <c r="CH5" s="163">
        <v>2693.82</v>
      </c>
      <c r="CI5" s="163">
        <v>2918.53</v>
      </c>
      <c r="CJ5" s="103">
        <f>BX5+BY5+BZ5+CA5+CB5+CC5+CD5+CE5+CF5+CG5+CH5+CI5</f>
        <v>29748.64</v>
      </c>
    </row>
    <row r="6" ht="31.95" customHeight="1" spans="1:88">
      <c r="A6" s="45"/>
      <c r="B6" s="141" t="s">
        <v>283</v>
      </c>
      <c r="C6" s="103">
        <f>C10+C14+C18+C22+C26+C30+C34+C38+C42+C46+C50+C54+C58+C62+C66+C70+C74</f>
        <v>22107.52</v>
      </c>
      <c r="D6" s="104">
        <f t="shared" si="0"/>
        <v>0.482677354408359</v>
      </c>
      <c r="E6" s="103">
        <f>E10+E14+E18+E22+E26+E30+E34+E38+E42+E46+E50+E54+E58+E62+E66+E70+E74</f>
        <v>19497.82</v>
      </c>
      <c r="F6" s="104">
        <f t="shared" si="1"/>
        <v>0.437770395578545</v>
      </c>
      <c r="G6" s="103">
        <f>G10+G14+G18+G22+G26+G30+G34+G38+G42+G46+G50+G54+G58+G62+G66+G70+G74</f>
        <v>24216.79</v>
      </c>
      <c r="H6" s="104">
        <f t="shared" si="2"/>
        <v>0.505890978194021</v>
      </c>
      <c r="I6" s="103">
        <f>I10+I14+I18+I22+I26+I30+I34+I38+I42+I46+I50+I54+I58+I62+I66+I70+I74</f>
        <v>23698.55</v>
      </c>
      <c r="J6" s="104">
        <f t="shared" si="3"/>
        <v>0.349415900622247</v>
      </c>
      <c r="K6" s="103">
        <f>K10+K14+K18+K22+K26+K30+K34+K38+K42+K46+K50+K54+K58+K62+K66+K70+K74</f>
        <v>25178.9</v>
      </c>
      <c r="L6" s="104">
        <f t="shared" si="4"/>
        <v>0.374174326922599</v>
      </c>
      <c r="M6" s="103">
        <v>25535.37</v>
      </c>
      <c r="N6" s="104">
        <f t="shared" si="5"/>
        <v>0.445312128559883</v>
      </c>
      <c r="O6" s="103">
        <v>28348.02</v>
      </c>
      <c r="P6" s="104">
        <f t="shared" si="6"/>
        <v>0.578806316780233</v>
      </c>
      <c r="Q6" s="127"/>
      <c r="R6" s="127"/>
      <c r="S6" s="103">
        <f t="shared" si="7"/>
        <v>168582.97</v>
      </c>
      <c r="T6" s="104">
        <f t="shared" si="8"/>
        <v>0.258495478663284</v>
      </c>
      <c r="U6" s="103"/>
      <c r="V6" s="103">
        <f>V10+V14+V18+V22+V26+V30+V34+V38+V42+V46+V50+V54+V58+V62+V66+V70+V74</f>
        <v>14910.54</v>
      </c>
      <c r="W6" s="104">
        <f t="shared" si="9"/>
        <v>-0.154957882608575</v>
      </c>
      <c r="X6" s="103">
        <f>X10+X14+X18+X22+X26+X30+X34+X38+X42+X46+X50+X54+X58+X62+X66+X70+X74</f>
        <v>13561.15</v>
      </c>
      <c r="Y6" s="104">
        <f t="shared" si="10"/>
        <v>0.0947252601770148</v>
      </c>
      <c r="Z6" s="103">
        <f>Z10+Z14+Z18+Z22+Z26+Z30+Z34+Z38+Z42+Z46+Z50+Z54+Z58+Z62+Z66+Z70+Z74</f>
        <v>16081.37</v>
      </c>
      <c r="AA6" s="104">
        <f t="shared" si="11"/>
        <v>-0.0191565342823798</v>
      </c>
      <c r="AB6" s="103">
        <f>AB10+AB14+AB18+AB22+AB26+AB30+AB34+AB38+AB42+AB46+AB50+AB54+AB58+AB62+AB66+AB70+AB74</f>
        <v>17562.0800000001</v>
      </c>
      <c r="AC6" s="104">
        <f t="shared" si="12"/>
        <v>-0.0136605316054558</v>
      </c>
      <c r="AD6" s="103">
        <f>AD10+AD14+AD18+AD22+AD26+AD30+AD34+AD38+AD42+AD46+AD50+AD54+AD58+AD62+AD66+AD70+AD74</f>
        <v>18322.9300000001</v>
      </c>
      <c r="AE6" s="104">
        <f t="shared" si="13"/>
        <v>0.0199345275569305</v>
      </c>
      <c r="AF6" s="103">
        <f>AF10+AF14+AF18+AF22+AF26+AF30+AF34+AF38+AF42+AF46+AF50+AF54+AF58+AF62+AF66+AF70+AF74</f>
        <v>17667.72</v>
      </c>
      <c r="AG6" s="104">
        <f t="shared" si="14"/>
        <v>-0.0985650180743968</v>
      </c>
      <c r="AH6" s="103">
        <f>AH10+AH14+AH18+AH22+AH26+AH30+AH34+AH38+AH42+AH46+AH50+AH54+AH58+AH62+AH66+AH70+AH74</f>
        <v>17955.35</v>
      </c>
      <c r="AI6" s="104">
        <f t="shared" si="15"/>
        <v>-0.040661687430108</v>
      </c>
      <c r="AJ6" s="103">
        <f>AJ10+AJ14+AJ18+AJ22+AJ26+AJ30+AJ34+AJ38+AJ42+AJ46+AJ50+AJ54+AJ58+AJ62+AJ66+AJ70+AJ74</f>
        <v>17894.82</v>
      </c>
      <c r="AK6" s="104">
        <f t="shared" si="16"/>
        <v>-0.0557605517643133</v>
      </c>
      <c r="AL6" s="103">
        <f>AL10+AL14+AL18+AL22+AL26+AL30+AL34+AL38+AL42+AL46+AL50+AL54+AL58+AL62+AL66+AL70+AL74</f>
        <v>16394.73</v>
      </c>
      <c r="AM6" s="104">
        <f t="shared" si="17"/>
        <v>-0.0599589230546941</v>
      </c>
      <c r="AN6" s="103">
        <f>AN10+AN14+AN18+AN22+AN26+AN30+AN34+AN38+AN42+AN46+AN50+AN54+AN58+AN62+AN66+AN70+AN74</f>
        <v>19433.55</v>
      </c>
      <c r="AO6" s="104">
        <f t="shared" si="18"/>
        <v>0.0806803205302864</v>
      </c>
      <c r="AP6" s="103">
        <f>AP10+AP14+AP18+AP22+AP26+AP30+AP34+AP38+AP42+AP46+AP50+AP54+AP58+AP62+AP66+AP70+AP74</f>
        <v>18554.14</v>
      </c>
      <c r="AQ6" s="104">
        <f t="shared" si="19"/>
        <v>0.0959598525184921</v>
      </c>
      <c r="AR6" s="103">
        <f>AR10+AR14+AR18+AR22+AR26+AR30+AR34+AR38+AR42+AR46+AR50+AR54+AR58+AR62+AR66+AR70+AR74</f>
        <v>20474.68</v>
      </c>
      <c r="AS6" s="104">
        <f t="shared" si="20"/>
        <v>0.155990921306701</v>
      </c>
      <c r="AT6" s="103">
        <f t="shared" si="21"/>
        <v>208813.06</v>
      </c>
      <c r="AU6" s="104">
        <f t="shared" si="22"/>
        <v>-0.0034218958092167</v>
      </c>
      <c r="AV6" s="146"/>
      <c r="AW6" s="103">
        <f>AW10+AW14+AW18+AW22+AW26+AW30+AW34+AW38+AW42+AW46+AW50+AW54+AW58+AW62+AW66+AW70+AW74</f>
        <v>17644.73</v>
      </c>
      <c r="AX6" s="104">
        <f>AW6/BX6-1</f>
        <v>0.583248090561921</v>
      </c>
      <c r="AY6" s="103">
        <f>AY10+AY14+AY18+AY22+AY26+AY30+AY34+AY38+AY42+AY46+AY50+AY54+AY58+AY62+AY66+AY70+AY74</f>
        <v>12387.72</v>
      </c>
      <c r="AZ6" s="104">
        <f>AY6/BY6-1</f>
        <v>-0.00305737056474065</v>
      </c>
      <c r="BA6" s="103">
        <f>BA10+BA14+BA18+BA22+BA26+BA30+BA34+BA38+BA42+BA46+BA50+BA54+BA58+BA62+BA66+BA70+BA74</f>
        <v>16395.45</v>
      </c>
      <c r="BB6" s="104">
        <f>BA6/BZ6-1</f>
        <v>0.207162373792598</v>
      </c>
      <c r="BC6" s="103">
        <f>BC10+BC14+BC18+BC22+BC26+BC30+BC34+BC38+BC42+BC46+BC50+BC54+BC58+BC62+BC66+BC70+BC74</f>
        <v>17805.31</v>
      </c>
      <c r="BD6" s="104">
        <f>BC6/CA6-1</f>
        <v>0.318895243541377</v>
      </c>
      <c r="BE6" s="103">
        <f>BE10+BE14+BE18+BE22+BE26+BE30+BE34+BE38+BE42+BE46+BE50+BE54+BE58+BE62+BE66+BE70+BE74</f>
        <v>17964.81</v>
      </c>
      <c r="BF6" s="104">
        <f>BE6/CB6-1</f>
        <v>0.277310488205819</v>
      </c>
      <c r="BG6" s="103">
        <f>BG10+BG14+BG18+BG22+BG26+BG30+BG34+BG38+BG42+BG46+BG50+BG54+BG58+BG62+BG66+BG70+BG74</f>
        <v>19599.55</v>
      </c>
      <c r="BH6" s="104">
        <f>BG6/CC6-1</f>
        <v>0.343799900858203</v>
      </c>
      <c r="BI6" s="103">
        <f>BI10+BI14+BI18+BI22+BI26+BI30+BI34+BI38+BI42+BI46+BI50+BI54+BI58+BI62+BI66+BI70+BI74</f>
        <v>18716.39</v>
      </c>
      <c r="BJ6" s="104">
        <f>BI6/CD6-1</f>
        <v>0.192514888603872</v>
      </c>
      <c r="BK6" s="103">
        <f>BK10+BK14+BK18+BK22+BK26+BK30+BK34+BK38+BK42+BK46+BK50+BK54+BK58+BK62+BK66+BK70+BK74</f>
        <v>18951.57</v>
      </c>
      <c r="BL6" s="104">
        <f>BK6/CE6-1</f>
        <v>0.201997497261639</v>
      </c>
      <c r="BM6" s="103">
        <f>BM10+BM14+BM18+BM22+BM26+BM30+BM34+BM38+BM42+BM46+BM50+BM54+BM58+BM62+BM66+BM70+BM74</f>
        <v>17440.44</v>
      </c>
      <c r="BN6" s="104">
        <f>BM6/CF6-1</f>
        <v>0.150657817909036</v>
      </c>
      <c r="BO6" s="103">
        <f>BO10+BO14+BO18+BO22+BO26+BO30+BO34+BO38+BO42+BO46+BO50+BO54+BO58+BO62+BO66+BO70+BO74</f>
        <v>17982.7</v>
      </c>
      <c r="BP6" s="104">
        <f>BO6/CG6-1</f>
        <v>0.161917819902642</v>
      </c>
      <c r="BQ6" s="103">
        <f>BQ10+BQ14+BQ18+BQ22+BQ26+BQ30+BQ34+BQ38+BQ42+BQ46+BQ50+BQ54+BQ58+BQ62+BQ66+BQ70+BQ74</f>
        <v>16929.58</v>
      </c>
      <c r="BR6" s="104">
        <f>BQ6/CH6-1</f>
        <v>0.0725574953862405</v>
      </c>
      <c r="BS6" s="103">
        <f>BS10+BS14+BS18+BS22+BS26+BS30+BS34+BS38+BS42+BS46+BS50+BS54+BS58+BS62+BS66+BS70+BS74</f>
        <v>17711.8</v>
      </c>
      <c r="BT6" s="104">
        <f>BS6/CI6-1</f>
        <v>0.0357184208156489</v>
      </c>
      <c r="BU6" s="103">
        <f t="shared" si="23"/>
        <v>209530.05</v>
      </c>
      <c r="BV6" s="104">
        <f>BU6/CJ6-1</f>
        <v>0.202242805135383</v>
      </c>
      <c r="BW6" s="162"/>
      <c r="BX6" s="163">
        <v>11144.64</v>
      </c>
      <c r="BY6" s="163">
        <v>12425.71</v>
      </c>
      <c r="BZ6" s="163">
        <v>13581.81</v>
      </c>
      <c r="CA6" s="163">
        <v>13500.17</v>
      </c>
      <c r="CB6" s="163">
        <v>14064.56</v>
      </c>
      <c r="CC6" s="163">
        <v>14585.17</v>
      </c>
      <c r="CD6" s="163">
        <v>15694.89</v>
      </c>
      <c r="CE6" s="163">
        <v>15766.73</v>
      </c>
      <c r="CF6" s="163">
        <v>15156.93</v>
      </c>
      <c r="CG6" s="163">
        <v>15476.74</v>
      </c>
      <c r="CH6" s="163">
        <v>15784.31</v>
      </c>
      <c r="CI6" s="163">
        <v>17100.98</v>
      </c>
      <c r="CJ6" s="103">
        <f>BX6+BY6+BZ6+CA6+CB6+CC6+CD6+CE6+CF6+CG6+CH6+CI6</f>
        <v>174282.64</v>
      </c>
    </row>
    <row r="7" ht="28.95" customHeight="1" spans="1:88">
      <c r="A7" s="45"/>
      <c r="B7" s="141" t="s">
        <v>284</v>
      </c>
      <c r="C7" s="103">
        <f>C11+C15+C19+C23+C27+C31+C35+C39+C43+C47+C51+C55+C59+C63+C67+C71+C75</f>
        <v>3469.41</v>
      </c>
      <c r="D7" s="104">
        <f t="shared" si="0"/>
        <v>0.492058918395874</v>
      </c>
      <c r="E7" s="103">
        <f>E11+E15+E19+E23+E27+E31+E35+E39+E43+E47+E51+E55+E59+E63+E67+E71+E75</f>
        <v>3049.99</v>
      </c>
      <c r="F7" s="104">
        <f t="shared" si="1"/>
        <v>0.446418324520431</v>
      </c>
      <c r="G7" s="103">
        <f>G11+G15+G19+G23+G27+G31+G35+G39+G43+G47+G51+G55+G59+G63+G67+G71+G75</f>
        <v>3803.27</v>
      </c>
      <c r="H7" s="104">
        <f t="shared" si="2"/>
        <v>0.518707971952019</v>
      </c>
      <c r="I7" s="103">
        <f>I11+I15+I19+I23+I27+I31+I35+I39+I43+I47+I51+I55+I59+I63+I67+I71+I75</f>
        <v>3708.79</v>
      </c>
      <c r="J7" s="104">
        <f t="shared" si="3"/>
        <v>0.359033928303149</v>
      </c>
      <c r="K7" s="103">
        <f>K11+K15+K19+K23+K27+K31+K35+K39+K43+K47+K51+K55+K59+K63+K67+K71+K75</f>
        <v>3931.68</v>
      </c>
      <c r="L7" s="104">
        <f t="shared" si="4"/>
        <v>0.382170240141741</v>
      </c>
      <c r="M7" s="103">
        <v>3988.31</v>
      </c>
      <c r="N7" s="104">
        <f t="shared" si="5"/>
        <v>0.435707754667126</v>
      </c>
      <c r="O7" s="103">
        <v>4430.84</v>
      </c>
      <c r="P7" s="104">
        <f t="shared" si="6"/>
        <v>0.601651231555582</v>
      </c>
      <c r="Q7" s="127"/>
      <c r="R7" s="127"/>
      <c r="S7" s="103">
        <f t="shared" si="7"/>
        <v>26382.29</v>
      </c>
      <c r="T7" s="104">
        <f t="shared" si="8"/>
        <v>0.267362999287111</v>
      </c>
      <c r="U7" s="103"/>
      <c r="V7" s="103">
        <f>V11+V15+V19+V23+V27+V31+V35+V39+V43+V47+V51+V55+V59+V63+V67+V71+V75</f>
        <v>2325.25</v>
      </c>
      <c r="W7" s="104">
        <f t="shared" si="9"/>
        <v>-0.171884126102255</v>
      </c>
      <c r="X7" s="103">
        <f>X11+X15+X19+X23+X27+X31+X35+X39+X43+X47+X51+X55+X59+X63+X67+X71+X75</f>
        <v>2108.65</v>
      </c>
      <c r="Y7" s="104">
        <f t="shared" si="10"/>
        <v>0.0521890562158802</v>
      </c>
      <c r="Z7" s="103">
        <f>Z11+Z15+Z19+Z23+Z27+Z31+Z35+Z39+Z43+Z47+Z51+Z55+Z59+Z63+Z67+Z71+Z75</f>
        <v>2504.28</v>
      </c>
      <c r="AA7" s="104">
        <f t="shared" si="11"/>
        <v>-0.0640269996524154</v>
      </c>
      <c r="AB7" s="103">
        <f>AB11+AB15+AB19+AB23+AB27+AB31+AB35+AB39+AB43+AB47+AB51+AB55+AB59+AB63+AB67+AB71+AB75</f>
        <v>2728.98999999999</v>
      </c>
      <c r="AC7" s="104">
        <f t="shared" si="12"/>
        <v>-0.0378175407668603</v>
      </c>
      <c r="AD7" s="103">
        <f>AD11+AD15+AD19+AD23+AD27+AD31+AD35+AD39+AD43+AD47+AD51+AD55+AD59+AD63+AD67+AD71+AD75</f>
        <v>2844.57000000001</v>
      </c>
      <c r="AE7" s="104">
        <f t="shared" si="13"/>
        <v>-0.00245478806411736</v>
      </c>
      <c r="AF7" s="103">
        <f>AF11+AF15+AF19+AF23+AF27+AF31+AF35+AF39+AF43+AF47+AF51+AF55+AF59+AF63+AF67+AF71+AF75</f>
        <v>2777.94</v>
      </c>
      <c r="AG7" s="104">
        <f t="shared" si="14"/>
        <v>-0.10976872073758</v>
      </c>
      <c r="AH7" s="103">
        <f>AH11+AH15+AH19+AH23+AH27+AH31+AH35+AH39+AH43+AH47+AH51+AH55+AH59+AH63+AH67+AH71+AH75</f>
        <v>2766.42000000001</v>
      </c>
      <c r="AI7" s="104">
        <f t="shared" si="15"/>
        <v>-0.0645675042351804</v>
      </c>
      <c r="AJ7" s="103">
        <f>AJ11+AJ15+AJ19+AJ23+AJ27+AJ31+AJ35+AJ39+AJ43+AJ47+AJ51+AJ55+AJ59+AJ63+AJ67+AJ71+AJ75</f>
        <v>2760.58</v>
      </c>
      <c r="AK7" s="104">
        <f t="shared" si="16"/>
        <v>-0.0835792653576103</v>
      </c>
      <c r="AL7" s="103">
        <f>AL11+AL15+AL19+AL23+AL27+AL31+AL35+AL39+AL43+AL47+AL51+AL55+AL59+AL63+AL67+AL71+AL75</f>
        <v>2522.54</v>
      </c>
      <c r="AM7" s="104">
        <f t="shared" si="17"/>
        <v>-0.0838387727084523</v>
      </c>
      <c r="AN7" s="103">
        <f>AN11+AN15+AN19+AN23+AN27+AN31+AN35+AN39+AN43+AN47+AN51+AN55+AN59+AN63+AN67+AN71+AN75</f>
        <v>3024.29000000001</v>
      </c>
      <c r="AO7" s="104">
        <f t="shared" si="18"/>
        <v>0.069935364270276</v>
      </c>
      <c r="AP7" s="103">
        <f>AP11+AP15+AP19+AP23+AP27+AP31+AP35+AP39+AP43+AP47+AP51+AP55+AP59+AP63+AP67+AP71+AP75</f>
        <v>2869.04</v>
      </c>
      <c r="AQ7" s="104">
        <f t="shared" si="19"/>
        <v>0.078797358882186</v>
      </c>
      <c r="AR7" s="103">
        <f>AR11+AR15+AR19+AR23+AR27+AR31+AR35+AR39+AR43+AR47+AR51+AR55+AR59+AR63+AR67+AR71+AR75</f>
        <v>3148.77</v>
      </c>
      <c r="AS7" s="104">
        <f t="shared" si="20"/>
        <v>0.124235489019247</v>
      </c>
      <c r="AT7" s="103">
        <f t="shared" si="21"/>
        <v>32381.32</v>
      </c>
      <c r="AU7" s="104">
        <f t="shared" si="22"/>
        <v>-0.0277579113800533</v>
      </c>
      <c r="AV7" s="104"/>
      <c r="AW7" s="103">
        <f>AW11+AW15+AW19+AW23+AW27+AW31+AW35+AW39+AW43+AW47+AW51+AW55+AW59+AW63+AW67+AW71+AW75</f>
        <v>2807.88</v>
      </c>
      <c r="AX7" s="104">
        <f>AW7/BX7-1</f>
        <v>0.583251103755871</v>
      </c>
      <c r="AY7" s="103">
        <f>AY11+AY15+AY19+AY23+AY27+AY31+AY35+AY39+AY43+AY47+AY51+AY55+AY59+AY63+AY67+AY71+AY75</f>
        <v>2004.06</v>
      </c>
      <c r="AZ7" s="104">
        <f>AY7/BY7-1</f>
        <v>-0.00305938185562682</v>
      </c>
      <c r="BA7" s="103">
        <f>BA11+BA15+BA19+BA23+BA27+BA31+BA35+BA39+BA43+BA47+BA51+BA55+BA59+BA63+BA67+BA71+BA75</f>
        <v>2675.59</v>
      </c>
      <c r="BB7" s="104">
        <f>BA7/BZ7-1</f>
        <v>0.212907934521949</v>
      </c>
      <c r="BC7" s="103">
        <f>BC11+BC15+BC19+BC23+BC27+BC31+BC35+BC39+BC43+BC47+BC51+BC55+BC59+BC63+BC67+BC71+BC75</f>
        <v>2836.25</v>
      </c>
      <c r="BD7" s="104">
        <f>BC7/CA7-1</f>
        <v>0.304118923690939</v>
      </c>
      <c r="BE7" s="103">
        <f>BE11+BE15+BE19+BE23+BE27+BE31+BE35+BE39+BE43+BE47+BE51+BE55+BE59+BE63+BE67+BE71+BE75</f>
        <v>2851.57</v>
      </c>
      <c r="BF7" s="104">
        <f>BE7/CB7-1</f>
        <v>0.25854900783843</v>
      </c>
      <c r="BG7" s="103">
        <f>BG11+BG15+BG19+BG23+BG27+BG31+BG35+BG39+BG43+BG47+BG51+BG55+BG59+BG63+BG67+BG71+BG75</f>
        <v>3120.47</v>
      </c>
      <c r="BH7" s="104">
        <f>BG7/CC7-1</f>
        <v>0.32806867464239</v>
      </c>
      <c r="BI7" s="103">
        <f>BI11+BI15+BI19+BI23+BI27+BI31+BI35+BI39+BI43+BI47+BI51+BI55+BI59+BI63+BI67+BI71+BI75</f>
        <v>2957.37</v>
      </c>
      <c r="BJ7" s="104">
        <f>BI7/CD7-1</f>
        <v>0.169660654959659</v>
      </c>
      <c r="BK7" s="103">
        <f>BK11+BK15+BK19+BK23+BK27+BK31+BK35+BK39+BK43+BK47+BK51+BK55+BK59+BK63+BK67+BK71+BK75</f>
        <v>3012.35</v>
      </c>
      <c r="BL7" s="104">
        <f>BK7/CE7-1</f>
        <v>0.185978574550092</v>
      </c>
      <c r="BM7" s="103">
        <f>BM11+BM15+BM19+BM23+BM27+BM31+BM35+BM39+BM43+BM47+BM51+BM55+BM59+BM63+BM67+BM71+BM75</f>
        <v>2753.38</v>
      </c>
      <c r="BN7" s="104">
        <f>BM7/CF7-1</f>
        <v>0.127630296427959</v>
      </c>
      <c r="BO7" s="103">
        <f>BO11+BO15+BO19+BO23+BO27+BO31+BO35+BO39+BO43+BO47+BO51+BO55+BO59+BO63+BO67+BO71+BO75</f>
        <v>2826.61</v>
      </c>
      <c r="BP7" s="104">
        <f>BO7/CG7-1</f>
        <v>0.133705003509476</v>
      </c>
      <c r="BQ7" s="103">
        <f>BQ11+BQ15+BQ19+BQ23+BQ27+BQ31+BQ35+BQ39+BQ43+BQ47+BQ51+BQ55+BQ59+BQ63+BQ67+BQ71+BQ75</f>
        <v>2659.48</v>
      </c>
      <c r="BR7" s="104">
        <f>BQ7/CH7-1</f>
        <v>0.0458823113012778</v>
      </c>
      <c r="BS7" s="103">
        <f>BS11+BS15+BS19+BS23+BS27+BS31+BS35+BS39+BS43+BS47+BS51+BS55+BS59+BS63+BS67+BS71+BS75</f>
        <v>2800.81</v>
      </c>
      <c r="BT7" s="104">
        <f>BS7/CI7-1</f>
        <v>0.0166574709973433</v>
      </c>
      <c r="BU7" s="103">
        <f t="shared" si="23"/>
        <v>33305.82</v>
      </c>
      <c r="BV7" s="104">
        <f>BU7/CJ7-1</f>
        <v>0.186064574026164</v>
      </c>
      <c r="BW7" s="162"/>
      <c r="BX7" s="163">
        <v>1773.49</v>
      </c>
      <c r="BY7" s="163">
        <v>2010.21</v>
      </c>
      <c r="BZ7" s="163">
        <v>2205.93</v>
      </c>
      <c r="CA7" s="163">
        <v>2174.84</v>
      </c>
      <c r="CB7" s="163">
        <v>2265.76</v>
      </c>
      <c r="CC7" s="163">
        <v>2349.63</v>
      </c>
      <c r="CD7" s="163">
        <v>2528.4</v>
      </c>
      <c r="CE7" s="163">
        <v>2539.97</v>
      </c>
      <c r="CF7" s="163">
        <v>2441.74</v>
      </c>
      <c r="CG7" s="163">
        <v>2493.25</v>
      </c>
      <c r="CH7" s="163">
        <v>2542.81</v>
      </c>
      <c r="CI7" s="163">
        <v>2754.92</v>
      </c>
      <c r="CJ7" s="103">
        <f>BX7+BY7+BZ7+CA7+CB7+CC7+CD7+CE7+CF7+CG7+CH7+CI7</f>
        <v>28080.95</v>
      </c>
    </row>
    <row r="8" ht="39" customHeight="1" spans="1:88">
      <c r="A8" s="29"/>
      <c r="B8" s="141" t="s">
        <v>276</v>
      </c>
      <c r="C8" s="103">
        <f>C12+C16+C20+C24+C28+C32+C36+C40+C44+C48+C52+C56+C60+C64+C68+C72+C76</f>
        <v>17507.49</v>
      </c>
      <c r="D8" s="104">
        <f t="shared" si="0"/>
        <v>0.434747334355531</v>
      </c>
      <c r="E8" s="103">
        <f>E12+E16+E20+E24+E28+E32+E36+E40+E44+E48+E52+E56+E60+E64+E68+E72+E76</f>
        <v>15526.08</v>
      </c>
      <c r="F8" s="104">
        <f t="shared" si="1"/>
        <v>0.413842214346335</v>
      </c>
      <c r="G8" s="103">
        <f>G12+G16+G20+G24+G28+G32+G36+G40+G44+G48+G52+G56+G60+G64+G68+G72+G76</f>
        <v>19476.22</v>
      </c>
      <c r="H8" s="104">
        <f t="shared" si="2"/>
        <v>0.476442084643538</v>
      </c>
      <c r="I8" s="103">
        <f>I12+I16+I20+I24+I28+I32+I36+I40+I44+I48+I52+I56+I60+I64+I68+I72+I76</f>
        <v>19072.16</v>
      </c>
      <c r="J8" s="104">
        <f t="shared" si="3"/>
        <v>0.330063064489243</v>
      </c>
      <c r="K8" s="103">
        <f>K12+K16+K20+K24+K28+K32+K36+K40+K44+K48+K52+K56+K60+K64+K68+K72+K76</f>
        <v>20146.59</v>
      </c>
      <c r="L8" s="104">
        <f t="shared" si="4"/>
        <v>0.369146248889712</v>
      </c>
      <c r="M8" s="103">
        <v>20344.21</v>
      </c>
      <c r="N8" s="104">
        <f t="shared" si="5"/>
        <v>0.431356256560784</v>
      </c>
      <c r="O8" s="103">
        <v>22705.61</v>
      </c>
      <c r="P8" s="104">
        <f t="shared" si="6"/>
        <v>0.592574823755343</v>
      </c>
      <c r="Q8" s="127"/>
      <c r="R8" s="127"/>
      <c r="S8" s="103">
        <f t="shared" si="7"/>
        <v>134778.36</v>
      </c>
      <c r="T8" s="104">
        <f t="shared" si="8"/>
        <v>0.246597412673067</v>
      </c>
      <c r="U8" s="103"/>
      <c r="V8" s="103">
        <f>V12+V16+V20+V24+V28+V32+V36+V40+V44+V48+V52+V56+V60+V64+V68+V72+V76</f>
        <v>12202.49</v>
      </c>
      <c r="W8" s="104">
        <f t="shared" si="9"/>
        <v>-0.145030664014468</v>
      </c>
      <c r="X8" s="103">
        <f>X12+X16+X20+X24+X28+X32+X36+X40+X44+X48+X52+X56+X60+X64+X68+X72+X76</f>
        <v>10981.48</v>
      </c>
      <c r="Y8" s="104">
        <f t="shared" si="10"/>
        <v>0.085915165658853</v>
      </c>
      <c r="Z8" s="103">
        <f>Z12+Z16+Z20+Z24+Z28+Z32+Z36+Z40+Z44+Z48+Z52+Z56+Z60+Z64+Z68+Z72+Z76</f>
        <v>13191.32</v>
      </c>
      <c r="AA8" s="104">
        <f t="shared" si="11"/>
        <v>-0.0323432043033343</v>
      </c>
      <c r="AB8" s="103">
        <f>AB12+AB16+AB20+AB24+AB28+AB32+AB36+AB40+AB44+AB48+AB52+AB56+AB60+AB64+AB68+AB72+AB76</f>
        <v>14339.29</v>
      </c>
      <c r="AC8" s="104">
        <f t="shared" si="12"/>
        <v>-0.0273785468695799</v>
      </c>
      <c r="AD8" s="103">
        <f>AD12+AD16+AD20+AD24+AD28+AD32+AD36+AD40+AD44+AD48+AD52+AD56+AD60+AD64+AD68+AD72+AD76</f>
        <v>14714.71</v>
      </c>
      <c r="AE8" s="104">
        <f t="shared" si="13"/>
        <v>-0.0100743652981663</v>
      </c>
      <c r="AF8" s="103">
        <f>AF12+AF16+AF20+AF24+AF28+AF32+AF36+AF40+AF44+AF48+AF52+AF56+AF60+AF64+AF68+AF72+AF76</f>
        <v>14213.24</v>
      </c>
      <c r="AG8" s="104">
        <f t="shared" si="14"/>
        <v>-0.122578303301406</v>
      </c>
      <c r="AH8" s="103">
        <f>AH12+AH16+AH20+AH24+AH28+AH32+AH36+AH40+AH44+AH48+AH52+AH56+AH60+AH64+AH68+AH72+AH76</f>
        <v>14257.17</v>
      </c>
      <c r="AI8" s="104">
        <f t="shared" si="15"/>
        <v>-0.0653622407438728</v>
      </c>
      <c r="AJ8" s="103">
        <f>AJ12+AJ16+AJ20+AJ24+AJ28+AJ32+AJ36+AJ40+AJ44+AJ48+AJ52+AJ56+AJ60+AJ64+AJ68+AJ72+AJ76</f>
        <v>14217.29</v>
      </c>
      <c r="AK8" s="104">
        <f t="shared" si="16"/>
        <v>-0.0843528451011911</v>
      </c>
      <c r="AL8" s="103">
        <f>AL12+AL16+AL20+AL24+AL28+AL32+AL36+AL40+AL44+AL48+AL52+AL56+AL60+AL64+AL68+AL72+AL76</f>
        <v>12998.74</v>
      </c>
      <c r="AM8" s="104">
        <f t="shared" si="17"/>
        <v>-0.0859777505419633</v>
      </c>
      <c r="AN8" s="103">
        <f>AN12+AN16+AN20+AN24+AN28+AN32+AN36+AN40+AN44+AN48+AN52+AN56+AN60+AN64+AN68+AN72+AN76</f>
        <v>15318.29</v>
      </c>
      <c r="AO8" s="104">
        <f t="shared" si="18"/>
        <v>0.045255328019586</v>
      </c>
      <c r="AP8" s="103">
        <f>AP12+AP16+AP20+AP24+AP28+AP32+AP36+AP40+AP44+AP48+AP52+AP56+AP60+AP64+AP68+AP72+AP76</f>
        <v>14688.45</v>
      </c>
      <c r="AQ8" s="104">
        <f t="shared" si="19"/>
        <v>0.0649576727095558</v>
      </c>
      <c r="AR8" s="103">
        <f>AR12+AR16+AR20+AR24+AR28+AR32+AR36+AR40+AR44+AR48+AR52+AR56+AR60+AR64+AR68+AR72+AR76</f>
        <v>16033.24</v>
      </c>
      <c r="AS8" s="104">
        <f t="shared" si="20"/>
        <v>0.100767498014144</v>
      </c>
      <c r="AT8" s="103">
        <f t="shared" si="21"/>
        <v>167155.71</v>
      </c>
      <c r="AU8" s="104">
        <f t="shared" si="22"/>
        <v>-0.0272562055035114</v>
      </c>
      <c r="AV8" s="104"/>
      <c r="AW8" s="103">
        <f>AW12+AW16+AW20+AW24+AW28+AW32+AW36+AW40+AW44+AW48+AW52+AW56+AW60+AW64+AW68+AW72+AW76</f>
        <v>14272.43</v>
      </c>
      <c r="AX8" s="104">
        <f>AW8/BX8-1</f>
        <v>0.583248379027473</v>
      </c>
      <c r="AY8" s="103">
        <f>AY12+AY16+AY20+AY24+AY28+AY32+AY36+AY40+AY44+AY48+AY52+AY56+AY60+AY64+AY68+AY72+AY76</f>
        <v>10112.65</v>
      </c>
      <c r="AZ8" s="104">
        <f>AY8/BY8-1</f>
        <v>-0.00305806478325865</v>
      </c>
      <c r="BA8" s="103">
        <f>BA12+BA16+BA20+BA24+BA28+BA32+BA36+BA40+BA44+BA48+BA52+BA56+BA60+BA64+BA68+BA72+BA76</f>
        <v>13632.23</v>
      </c>
      <c r="BB8" s="104">
        <f>BA8/BZ8-1</f>
        <v>0.212909545807208</v>
      </c>
      <c r="BC8" s="103">
        <f>BC12+BC16+BC20+BC24+BC28+BC32+BC36+BC40+BC44+BC48+BC52+BC56+BC60+BC64+BC68+BC72+BC76</f>
        <v>14742.93</v>
      </c>
      <c r="BD8" s="104">
        <f>BC8/CA8-1</f>
        <v>0.335813248017743</v>
      </c>
      <c r="BE8" s="103">
        <f>BE12+BE16+BE20+BE24+BE28+BE32+BE36+BE40+BE44+BE48+BE52+BE56+BE60+BE64+BE68+BE72+BE76</f>
        <v>14864.46</v>
      </c>
      <c r="BF8" s="104">
        <f>BE8/CB8-1</f>
        <v>0.292779825466212</v>
      </c>
      <c r="BG8" s="103">
        <f>BG12+BG16+BG20+BG24+BG28+BG32+BG36+BG40+BG44+BG48+BG52+BG56+BG60+BG64+BG68+BG72+BG76</f>
        <v>16198.87</v>
      </c>
      <c r="BH8" s="104">
        <f>BG8/CC8-1</f>
        <v>0.358546187083186</v>
      </c>
      <c r="BI8" s="103">
        <f>BI12+BI16+BI20+BI24+BI28+BI32+BI36+BI40+BI44+BI48+BI52+BI56+BI60+BI64+BI68+BI72+BI76</f>
        <v>15254.22</v>
      </c>
      <c r="BJ8" s="104">
        <f>BI8/CD8-1</f>
        <v>0.188867793947105</v>
      </c>
      <c r="BK8" s="103">
        <f>BK12+BK16+BK20+BK24+BK28+BK32+BK36+BK40+BK44+BK48+BK52+BK56+BK60+BK64+BK68+BK72+BK76</f>
        <v>15527.04</v>
      </c>
      <c r="BL8" s="104">
        <f>BK8/CE8-1</f>
        <v>0.204618610832463</v>
      </c>
      <c r="BM8" s="103">
        <f>BM12+BM16+BM20+BM24+BM28+BM32+BM36+BM40+BM44+BM48+BM52+BM56+BM60+BM64+BM68+BM72+BM76</f>
        <v>14221.47</v>
      </c>
      <c r="BN8" s="104">
        <f>BM8/CF8-1</f>
        <v>0.14771557996015</v>
      </c>
      <c r="BO8" s="103">
        <f>BO12+BO16+BO20+BO24+BO28+BO32+BO36+BO40+BO44+BO48+BO52+BO56+BO60+BO64+BO68+BO72+BO76</f>
        <v>14655.07</v>
      </c>
      <c r="BP8" s="104">
        <f>BO8/CG8-1</f>
        <v>0.158274649278799</v>
      </c>
      <c r="BQ8" s="103">
        <f>BQ12+BQ16+BQ20+BQ24+BQ28+BQ32+BQ36+BQ40+BQ44+BQ48+BQ52+BQ56+BQ60+BQ64+BQ68+BQ72+BQ76</f>
        <v>13792.52</v>
      </c>
      <c r="BR8" s="104">
        <f>BQ8/CH8-1</f>
        <v>0.0688553403166916</v>
      </c>
      <c r="BS8" s="103">
        <f>BS12+BS16+BS20+BS24+BS28+BS32+BS36+BS40+BS44+BS48+BS52+BS56+BS60+BS64+BS68+BS72+BS76</f>
        <v>14565.51</v>
      </c>
      <c r="BT8" s="104">
        <f>BS8/CI8-1</f>
        <v>0.0418521644588139</v>
      </c>
      <c r="BU8" s="103">
        <f t="shared" si="23"/>
        <v>171839.4</v>
      </c>
      <c r="BV8" s="104">
        <f>BU8/CJ8-1</f>
        <v>0.20585244676484</v>
      </c>
      <c r="BW8" s="162"/>
      <c r="BX8" s="163">
        <v>9014.65</v>
      </c>
      <c r="BY8" s="163">
        <v>10143.67</v>
      </c>
      <c r="BZ8" s="163">
        <v>11239.28</v>
      </c>
      <c r="CA8" s="163">
        <v>11036.67</v>
      </c>
      <c r="CB8" s="163">
        <v>11498.06</v>
      </c>
      <c r="CC8" s="163">
        <v>11923.68</v>
      </c>
      <c r="CD8" s="163">
        <v>12830.88</v>
      </c>
      <c r="CE8" s="163">
        <v>12889.59</v>
      </c>
      <c r="CF8" s="163">
        <v>12391.11</v>
      </c>
      <c r="CG8" s="163">
        <v>12652.5</v>
      </c>
      <c r="CH8" s="163">
        <v>12904.01</v>
      </c>
      <c r="CI8" s="163">
        <v>13980.4</v>
      </c>
      <c r="CJ8" s="103">
        <f>BX8+BY8+BZ8+CA8+CB8+CC8+CD8+CE8+CF8+CG8+CH8+CI8</f>
        <v>142504.5</v>
      </c>
    </row>
    <row r="9" ht="31.95" customHeight="1" spans="1:88">
      <c r="A9" s="164" t="s">
        <v>87</v>
      </c>
      <c r="B9" s="141" t="s">
        <v>282</v>
      </c>
      <c r="C9" s="103">
        <v>1572.22990480898</v>
      </c>
      <c r="D9" s="104">
        <f t="shared" si="0"/>
        <v>0.260895986954197</v>
      </c>
      <c r="E9" s="103">
        <v>1173.62720546707</v>
      </c>
      <c r="F9" s="104">
        <f t="shared" si="1"/>
        <v>0.000127502851358097</v>
      </c>
      <c r="G9" s="103">
        <v>1579.09468399237</v>
      </c>
      <c r="H9" s="104">
        <f t="shared" si="2"/>
        <v>0.107985891386399</v>
      </c>
      <c r="I9" s="103">
        <v>1484.72453646845</v>
      </c>
      <c r="J9" s="104">
        <f t="shared" si="3"/>
        <v>-0.00355364923985713</v>
      </c>
      <c r="K9" s="103">
        <v>1497.08221061159</v>
      </c>
      <c r="L9" s="104">
        <f t="shared" si="4"/>
        <v>-0.0102953850732558</v>
      </c>
      <c r="M9" s="103">
        <v>1591.1238174939</v>
      </c>
      <c r="N9" s="104">
        <f t="shared" si="5"/>
        <v>0.113694366684265</v>
      </c>
      <c r="O9" s="103">
        <v>1825.19753558188</v>
      </c>
      <c r="P9" s="104">
        <f t="shared" si="6"/>
        <v>0.268899949420779</v>
      </c>
      <c r="Q9" s="127"/>
      <c r="R9" s="127"/>
      <c r="S9" s="103">
        <f t="shared" si="7"/>
        <v>10723.0798944242</v>
      </c>
      <c r="T9" s="104">
        <f t="shared" si="8"/>
        <v>-0.0329610234231478</v>
      </c>
      <c r="U9" s="103"/>
      <c r="V9" s="103">
        <v>1246.91482967349</v>
      </c>
      <c r="W9" s="104">
        <f t="shared" si="9"/>
        <v>-0.214211911612586</v>
      </c>
      <c r="X9" s="103">
        <v>1173.47758372914</v>
      </c>
      <c r="Y9" s="104">
        <f t="shared" si="10"/>
        <v>0.1903053456755</v>
      </c>
      <c r="Z9" s="103">
        <v>1425.19385514601</v>
      </c>
      <c r="AA9" s="104">
        <f t="shared" si="11"/>
        <v>-0.0934408923554148</v>
      </c>
      <c r="AB9" s="103">
        <v>1490.01954328582</v>
      </c>
      <c r="AC9" s="104">
        <f t="shared" si="12"/>
        <v>-0.116130702211373</v>
      </c>
      <c r="AD9" s="103">
        <v>1512.65558231473</v>
      </c>
      <c r="AE9" s="104">
        <f t="shared" si="13"/>
        <v>-0.109319676079408</v>
      </c>
      <c r="AF9" s="103">
        <v>1428.68983187107</v>
      </c>
      <c r="AG9" s="104">
        <f t="shared" si="14"/>
        <v>-0.112645844012717</v>
      </c>
      <c r="AH9" s="103">
        <v>1438.40933748562</v>
      </c>
      <c r="AI9" s="104">
        <f t="shared" si="15"/>
        <v>-0.00288860699249716</v>
      </c>
      <c r="AJ9" s="103">
        <v>1373.20996379805</v>
      </c>
      <c r="AK9" s="104">
        <f t="shared" si="16"/>
        <v>0.0490577406258852</v>
      </c>
      <c r="AL9" s="103">
        <v>1278.51511472903</v>
      </c>
      <c r="AM9" s="104">
        <f t="shared" si="17"/>
        <v>-0.018259990860313</v>
      </c>
      <c r="AN9" s="103">
        <v>1322.34908613148</v>
      </c>
      <c r="AO9" s="104">
        <f t="shared" si="18"/>
        <v>-0.0212442984338796</v>
      </c>
      <c r="AP9" s="103">
        <v>1279.4621781458</v>
      </c>
      <c r="AQ9" s="104">
        <f t="shared" si="19"/>
        <v>0.0446325425249297</v>
      </c>
      <c r="AR9" s="103">
        <v>1332.36289236395</v>
      </c>
      <c r="AS9" s="104">
        <f t="shared" si="20"/>
        <v>0.12680431462079</v>
      </c>
      <c r="AT9" s="103">
        <f t="shared" si="21"/>
        <v>16301.2597986742</v>
      </c>
      <c r="AU9" s="104">
        <f t="shared" si="22"/>
        <v>-0.0383355381942527</v>
      </c>
      <c r="AV9" s="104"/>
      <c r="AW9" s="103">
        <v>1586.83345815587</v>
      </c>
      <c r="AX9" s="104"/>
      <c r="AY9" s="103">
        <v>985.862651119314</v>
      </c>
      <c r="AZ9" s="104"/>
      <c r="BA9" s="103">
        <v>1572.09148650984</v>
      </c>
      <c r="BB9" s="104"/>
      <c r="BC9" s="103">
        <v>1685.79171944736</v>
      </c>
      <c r="BD9" s="104"/>
      <c r="BE9" s="103">
        <v>1698.31480688417</v>
      </c>
      <c r="BF9" s="104"/>
      <c r="BG9" s="103">
        <v>1610.05594241173</v>
      </c>
      <c r="BH9" s="104"/>
      <c r="BI9" s="103">
        <v>1442.57637368586</v>
      </c>
      <c r="BJ9" s="104"/>
      <c r="BK9" s="103">
        <v>1308.99369083228</v>
      </c>
      <c r="BL9" s="104"/>
      <c r="BM9" s="103">
        <v>1302.29500970365</v>
      </c>
      <c r="BN9" s="104"/>
      <c r="BO9" s="103">
        <v>1351.05122148006</v>
      </c>
      <c r="BP9" s="104"/>
      <c r="BQ9" s="103">
        <v>1224.79640070687</v>
      </c>
      <c r="BR9" s="104"/>
      <c r="BS9" s="103">
        <v>1182.42615428069</v>
      </c>
      <c r="BT9" s="104"/>
      <c r="BU9" s="103">
        <f t="shared" si="23"/>
        <v>16951.0889152177</v>
      </c>
      <c r="BV9" s="104"/>
      <c r="BW9" s="162"/>
      <c r="BX9" s="163"/>
      <c r="BY9" s="163"/>
      <c r="BZ9" s="163"/>
      <c r="CA9" s="163"/>
      <c r="CB9" s="163"/>
      <c r="CC9" s="163"/>
      <c r="CD9" s="163"/>
      <c r="CE9" s="163"/>
      <c r="CF9" s="163"/>
      <c r="CG9" s="163"/>
      <c r="CH9" s="163"/>
      <c r="CI9" s="163"/>
      <c r="CJ9" s="146"/>
    </row>
    <row r="10" ht="30" customHeight="1" spans="1:88">
      <c r="A10" s="45"/>
      <c r="B10" s="141" t="s">
        <v>283</v>
      </c>
      <c r="C10" s="103">
        <v>11071.0321197779</v>
      </c>
      <c r="D10" s="104">
        <f t="shared" si="0"/>
        <v>0.26591460702344</v>
      </c>
      <c r="E10" s="103">
        <v>8459.37228960247</v>
      </c>
      <c r="F10" s="104">
        <f t="shared" si="1"/>
        <v>0.0377946777938014</v>
      </c>
      <c r="G10" s="103">
        <v>11259.0560516646</v>
      </c>
      <c r="H10" s="104">
        <f t="shared" si="2"/>
        <v>0.132623294154292</v>
      </c>
      <c r="I10" s="103">
        <v>10677.3373849824</v>
      </c>
      <c r="J10" s="104">
        <f t="shared" si="3"/>
        <v>0.0194501132540374</v>
      </c>
      <c r="K10" s="103">
        <v>10805.3082444497</v>
      </c>
      <c r="L10" s="104">
        <f t="shared" si="4"/>
        <v>0.0191887115008929</v>
      </c>
      <c r="M10" s="103">
        <v>11403.2323802308</v>
      </c>
      <c r="N10" s="104">
        <f t="shared" si="5"/>
        <v>0.14215371382494</v>
      </c>
      <c r="O10" s="103">
        <v>13036.3928683541</v>
      </c>
      <c r="P10" s="104">
        <f t="shared" si="6"/>
        <v>0.29272459344366</v>
      </c>
      <c r="Q10" s="127"/>
      <c r="R10" s="127"/>
      <c r="S10" s="103">
        <f t="shared" si="7"/>
        <v>76711.731339062</v>
      </c>
      <c r="T10" s="104">
        <f t="shared" si="8"/>
        <v>-0.0122351228480377</v>
      </c>
      <c r="U10" s="103"/>
      <c r="V10" s="103">
        <v>8745.48098138258</v>
      </c>
      <c r="W10" s="104">
        <f t="shared" si="9"/>
        <v>-0.193839218652755</v>
      </c>
      <c r="X10" s="103">
        <v>8151.29665878211</v>
      </c>
      <c r="Y10" s="104">
        <f t="shared" si="10"/>
        <v>0.190612815289333</v>
      </c>
      <c r="Z10" s="103">
        <v>9940.68911506144</v>
      </c>
      <c r="AA10" s="104">
        <f t="shared" si="11"/>
        <v>-0.0650265936422234</v>
      </c>
      <c r="AB10" s="103">
        <v>10473.6242079574</v>
      </c>
      <c r="AC10" s="104">
        <f t="shared" si="12"/>
        <v>-0.0957204427433931</v>
      </c>
      <c r="AD10" s="103">
        <v>10601.8719816249</v>
      </c>
      <c r="AE10" s="104">
        <f t="shared" si="13"/>
        <v>-0.0927290097588164</v>
      </c>
      <c r="AF10" s="103">
        <v>9983.97347239952</v>
      </c>
      <c r="AG10" s="104">
        <f t="shared" si="14"/>
        <v>-0.122168721126214</v>
      </c>
      <c r="AH10" s="103">
        <v>10084.4316991191</v>
      </c>
      <c r="AI10" s="104">
        <f t="shared" si="15"/>
        <v>-0.021164515280464</v>
      </c>
      <c r="AJ10" s="103">
        <v>9680.56653379544</v>
      </c>
      <c r="AK10" s="104">
        <f t="shared" si="16"/>
        <v>0.0135440424009377</v>
      </c>
      <c r="AL10" s="103">
        <v>8939.91732160063</v>
      </c>
      <c r="AM10" s="104">
        <f t="shared" si="17"/>
        <v>-0.0420990658650747</v>
      </c>
      <c r="AN10" s="103">
        <v>9430.78056864104</v>
      </c>
      <c r="AO10" s="104">
        <f t="shared" si="18"/>
        <v>-0.0276467946178274</v>
      </c>
      <c r="AP10" s="103">
        <v>9114.33135077378</v>
      </c>
      <c r="AQ10" s="104">
        <f t="shared" si="19"/>
        <v>0.0290726713648914</v>
      </c>
      <c r="AR10" s="103">
        <v>9556.21768144123</v>
      </c>
      <c r="AS10" s="104">
        <f t="shared" si="20"/>
        <v>0.105199143789178</v>
      </c>
      <c r="AT10" s="103">
        <f t="shared" si="21"/>
        <v>114703.181572579</v>
      </c>
      <c r="AU10" s="104">
        <f t="shared" si="22"/>
        <v>-0.0389885697211934</v>
      </c>
      <c r="AV10" s="104"/>
      <c r="AW10" s="103">
        <v>10848.3086547168</v>
      </c>
      <c r="AX10" s="104"/>
      <c r="AY10" s="103">
        <v>6846.30347843287</v>
      </c>
      <c r="AZ10" s="104"/>
      <c r="BA10" s="103">
        <v>10632.055465391</v>
      </c>
      <c r="BB10" s="104"/>
      <c r="BC10" s="103">
        <v>11582.2857255915</v>
      </c>
      <c r="BD10" s="104"/>
      <c r="BE10" s="103">
        <v>11685.4524124116</v>
      </c>
      <c r="BF10" s="104"/>
      <c r="BG10" s="103">
        <v>11373.4537748626</v>
      </c>
      <c r="BH10" s="104"/>
      <c r="BI10" s="103">
        <v>10302.4786662782</v>
      </c>
      <c r="BJ10" s="104"/>
      <c r="BK10" s="103">
        <v>9551.20461352976</v>
      </c>
      <c r="BL10" s="104"/>
      <c r="BM10" s="103">
        <v>9332.82033979246</v>
      </c>
      <c r="BN10" s="104"/>
      <c r="BO10" s="103">
        <v>9698.92474919582</v>
      </c>
      <c r="BP10" s="104"/>
      <c r="BQ10" s="103">
        <v>8856.83937042576</v>
      </c>
      <c r="BR10" s="104"/>
      <c r="BS10" s="103">
        <v>8646.60250158873</v>
      </c>
      <c r="BT10" s="104"/>
      <c r="BU10" s="103">
        <f t="shared" si="23"/>
        <v>119356.729752217</v>
      </c>
      <c r="BV10" s="104"/>
      <c r="BW10" s="162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46"/>
    </row>
    <row r="11" ht="34.05" customHeight="1" spans="1:88">
      <c r="A11" s="45"/>
      <c r="B11" s="141" t="s">
        <v>284</v>
      </c>
      <c r="C11" s="103">
        <v>1572.22990480898</v>
      </c>
      <c r="D11" s="104">
        <f t="shared" si="0"/>
        <v>0.260895986954197</v>
      </c>
      <c r="E11" s="103">
        <v>1173.62720546707</v>
      </c>
      <c r="F11" s="104">
        <f t="shared" si="1"/>
        <v>0.000127502851358097</v>
      </c>
      <c r="G11" s="103">
        <v>1579.09468399237</v>
      </c>
      <c r="H11" s="104">
        <f t="shared" si="2"/>
        <v>0.107985891386399</v>
      </c>
      <c r="I11" s="103">
        <v>1484.72453646845</v>
      </c>
      <c r="J11" s="104">
        <f t="shared" si="3"/>
        <v>-0.00355364923985713</v>
      </c>
      <c r="K11" s="103">
        <v>1497.08221061159</v>
      </c>
      <c r="L11" s="104">
        <f t="shared" si="4"/>
        <v>-0.0102953850732558</v>
      </c>
      <c r="M11" s="103">
        <v>1591.1238174939</v>
      </c>
      <c r="N11" s="104">
        <f t="shared" si="5"/>
        <v>0.113694366684265</v>
      </c>
      <c r="O11" s="103">
        <v>1825.19753558188</v>
      </c>
      <c r="P11" s="104">
        <f t="shared" si="6"/>
        <v>0.268899949420779</v>
      </c>
      <c r="Q11" s="127"/>
      <c r="R11" s="127"/>
      <c r="S11" s="103">
        <f t="shared" si="7"/>
        <v>10723.0798944242</v>
      </c>
      <c r="T11" s="104">
        <f t="shared" si="8"/>
        <v>-0.0329610234231478</v>
      </c>
      <c r="U11" s="103"/>
      <c r="V11" s="103">
        <v>1246.91482967349</v>
      </c>
      <c r="W11" s="104">
        <f t="shared" si="9"/>
        <v>-0.214211911612586</v>
      </c>
      <c r="X11" s="103">
        <v>1173.47758372914</v>
      </c>
      <c r="Y11" s="104">
        <f t="shared" si="10"/>
        <v>0.1903053456755</v>
      </c>
      <c r="Z11" s="103">
        <v>1425.19385514601</v>
      </c>
      <c r="AA11" s="104">
        <f t="shared" si="11"/>
        <v>-0.0934408923554148</v>
      </c>
      <c r="AB11" s="103">
        <v>1490.01954328582</v>
      </c>
      <c r="AC11" s="104">
        <f t="shared" si="12"/>
        <v>-0.116130702211373</v>
      </c>
      <c r="AD11" s="103">
        <v>1512.65558231473</v>
      </c>
      <c r="AE11" s="104">
        <f t="shared" si="13"/>
        <v>-0.109319676079408</v>
      </c>
      <c r="AF11" s="103">
        <v>1428.68983187107</v>
      </c>
      <c r="AG11" s="104">
        <f t="shared" si="14"/>
        <v>-0.112645844012717</v>
      </c>
      <c r="AH11" s="103">
        <v>1438.40933748562</v>
      </c>
      <c r="AI11" s="104">
        <f t="shared" si="15"/>
        <v>-0.00288860699249716</v>
      </c>
      <c r="AJ11" s="103">
        <v>1373.20996379805</v>
      </c>
      <c r="AK11" s="104">
        <f t="shared" si="16"/>
        <v>0.0490577406258852</v>
      </c>
      <c r="AL11" s="103">
        <v>1278.51511472903</v>
      </c>
      <c r="AM11" s="104">
        <f t="shared" si="17"/>
        <v>-0.018259990860313</v>
      </c>
      <c r="AN11" s="103">
        <v>1322.34908613148</v>
      </c>
      <c r="AO11" s="104">
        <f t="shared" si="18"/>
        <v>-0.0212442984338796</v>
      </c>
      <c r="AP11" s="103">
        <v>1279.4621781458</v>
      </c>
      <c r="AQ11" s="104">
        <f t="shared" si="19"/>
        <v>0.0446325425249297</v>
      </c>
      <c r="AR11" s="103">
        <v>1332.36289236395</v>
      </c>
      <c r="AS11" s="104">
        <f t="shared" si="20"/>
        <v>0.12680431462079</v>
      </c>
      <c r="AT11" s="103">
        <f t="shared" si="21"/>
        <v>16301.2597986742</v>
      </c>
      <c r="AU11" s="104">
        <f t="shared" si="22"/>
        <v>-0.0383355381942527</v>
      </c>
      <c r="AV11" s="104"/>
      <c r="AW11" s="103">
        <v>1586.83345815587</v>
      </c>
      <c r="AX11" s="104"/>
      <c r="AY11" s="103">
        <v>985.862651119314</v>
      </c>
      <c r="AZ11" s="104"/>
      <c r="BA11" s="103">
        <v>1572.09148650984</v>
      </c>
      <c r="BB11" s="104"/>
      <c r="BC11" s="103">
        <v>1685.79171944736</v>
      </c>
      <c r="BD11" s="104"/>
      <c r="BE11" s="103">
        <v>1698.31480688417</v>
      </c>
      <c r="BF11" s="104"/>
      <c r="BG11" s="103">
        <v>1610.05594241173</v>
      </c>
      <c r="BH11" s="104"/>
      <c r="BI11" s="103">
        <v>1442.57637368586</v>
      </c>
      <c r="BJ11" s="104"/>
      <c r="BK11" s="103">
        <v>1308.99369083228</v>
      </c>
      <c r="BL11" s="104"/>
      <c r="BM11" s="103">
        <v>1302.29500970365</v>
      </c>
      <c r="BN11" s="104"/>
      <c r="BO11" s="103">
        <v>1351.05122148006</v>
      </c>
      <c r="BP11" s="104"/>
      <c r="BQ11" s="103">
        <v>1224.79640070687</v>
      </c>
      <c r="BR11" s="104"/>
      <c r="BS11" s="103">
        <v>1182.42615428069</v>
      </c>
      <c r="BT11" s="104"/>
      <c r="BU11" s="103">
        <f t="shared" si="23"/>
        <v>16951.0889152177</v>
      </c>
      <c r="BV11" s="104"/>
      <c r="BW11" s="162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46"/>
    </row>
    <row r="12" ht="28.8" customHeight="1" spans="1:88">
      <c r="A12" s="29"/>
      <c r="B12" s="141" t="s">
        <v>276</v>
      </c>
      <c r="C12" s="103">
        <v>11071.0321197779</v>
      </c>
      <c r="D12" s="104">
        <f t="shared" si="0"/>
        <v>0.26591460702344</v>
      </c>
      <c r="E12" s="103">
        <v>8459.37228960247</v>
      </c>
      <c r="F12" s="104">
        <f t="shared" si="1"/>
        <v>0.0377946777938014</v>
      </c>
      <c r="G12" s="103">
        <v>11259.0560516646</v>
      </c>
      <c r="H12" s="104">
        <f t="shared" si="2"/>
        <v>0.132623294154292</v>
      </c>
      <c r="I12" s="103">
        <v>10677.3373849824</v>
      </c>
      <c r="J12" s="104">
        <f t="shared" si="3"/>
        <v>0.0194501132540374</v>
      </c>
      <c r="K12" s="103">
        <v>10805.3082444497</v>
      </c>
      <c r="L12" s="104">
        <f t="shared" si="4"/>
        <v>0.0191887115008929</v>
      </c>
      <c r="M12" s="103">
        <v>11403.2323802308</v>
      </c>
      <c r="N12" s="104">
        <f t="shared" si="5"/>
        <v>0.14215371382494</v>
      </c>
      <c r="O12" s="103">
        <v>13036.3928683541</v>
      </c>
      <c r="P12" s="104">
        <f t="shared" si="6"/>
        <v>0.29272459344366</v>
      </c>
      <c r="Q12" s="127"/>
      <c r="R12" s="127"/>
      <c r="S12" s="103">
        <f t="shared" si="7"/>
        <v>76711.731339062</v>
      </c>
      <c r="T12" s="104">
        <f t="shared" si="8"/>
        <v>-0.0122351228480377</v>
      </c>
      <c r="U12" s="103"/>
      <c r="V12" s="103">
        <v>8745.48098138258</v>
      </c>
      <c r="W12" s="104">
        <f t="shared" si="9"/>
        <v>-0.193839218652755</v>
      </c>
      <c r="X12" s="103">
        <v>8151.29665878211</v>
      </c>
      <c r="Y12" s="104">
        <f t="shared" si="10"/>
        <v>0.190612815289333</v>
      </c>
      <c r="Z12" s="103">
        <v>9940.68911506144</v>
      </c>
      <c r="AA12" s="104">
        <f t="shared" si="11"/>
        <v>-0.0650265936422234</v>
      </c>
      <c r="AB12" s="103">
        <v>10473.6242079574</v>
      </c>
      <c r="AC12" s="104">
        <f t="shared" si="12"/>
        <v>-0.0957204427433931</v>
      </c>
      <c r="AD12" s="103">
        <v>10601.8719816249</v>
      </c>
      <c r="AE12" s="104">
        <f t="shared" si="13"/>
        <v>-0.0927290097588164</v>
      </c>
      <c r="AF12" s="103">
        <v>9983.97347239952</v>
      </c>
      <c r="AG12" s="104">
        <f t="shared" si="14"/>
        <v>-0.122168721126214</v>
      </c>
      <c r="AH12" s="103">
        <v>10084.4316991191</v>
      </c>
      <c r="AI12" s="104">
        <f t="shared" si="15"/>
        <v>-0.021164515280464</v>
      </c>
      <c r="AJ12" s="103">
        <v>9680.56653379544</v>
      </c>
      <c r="AK12" s="104">
        <f t="shared" si="16"/>
        <v>0.0135440424009377</v>
      </c>
      <c r="AL12" s="103">
        <v>8939.91732160063</v>
      </c>
      <c r="AM12" s="104">
        <f t="shared" si="17"/>
        <v>-0.0420990658650747</v>
      </c>
      <c r="AN12" s="103">
        <v>9430.78056864104</v>
      </c>
      <c r="AO12" s="104">
        <f t="shared" si="18"/>
        <v>-0.0276467946178274</v>
      </c>
      <c r="AP12" s="103">
        <v>9114.33135077378</v>
      </c>
      <c r="AQ12" s="104">
        <f t="shared" si="19"/>
        <v>0.0290726713648914</v>
      </c>
      <c r="AR12" s="103">
        <v>9556.21768144123</v>
      </c>
      <c r="AS12" s="104">
        <f t="shared" si="20"/>
        <v>0.105199143789178</v>
      </c>
      <c r="AT12" s="103">
        <f t="shared" si="21"/>
        <v>114703.181572579</v>
      </c>
      <c r="AU12" s="104">
        <f t="shared" si="22"/>
        <v>-0.0389885697211934</v>
      </c>
      <c r="AV12" s="104"/>
      <c r="AW12" s="103">
        <v>10848.3086547168</v>
      </c>
      <c r="AX12" s="104"/>
      <c r="AY12" s="103">
        <v>6846.30347843287</v>
      </c>
      <c r="AZ12" s="104"/>
      <c r="BA12" s="103">
        <v>10632.055465391</v>
      </c>
      <c r="BB12" s="104"/>
      <c r="BC12" s="103">
        <v>11582.2857255915</v>
      </c>
      <c r="BD12" s="104"/>
      <c r="BE12" s="103">
        <v>11685.4524124116</v>
      </c>
      <c r="BF12" s="104"/>
      <c r="BG12" s="103">
        <v>11373.4537748626</v>
      </c>
      <c r="BH12" s="104"/>
      <c r="BI12" s="103">
        <v>10302.4786662782</v>
      </c>
      <c r="BJ12" s="104"/>
      <c r="BK12" s="103">
        <v>9551.20461352976</v>
      </c>
      <c r="BL12" s="104"/>
      <c r="BM12" s="103">
        <v>9332.82033979246</v>
      </c>
      <c r="BN12" s="104"/>
      <c r="BO12" s="103">
        <v>9698.92474919582</v>
      </c>
      <c r="BP12" s="104"/>
      <c r="BQ12" s="103">
        <v>8856.83937042576</v>
      </c>
      <c r="BR12" s="104"/>
      <c r="BS12" s="103">
        <v>8646.60250158873</v>
      </c>
      <c r="BT12" s="104"/>
      <c r="BU12" s="103">
        <f t="shared" si="23"/>
        <v>119356.729752217</v>
      </c>
      <c r="BV12" s="104"/>
      <c r="BW12" s="162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165"/>
      <c r="CI12" s="165"/>
      <c r="CJ12" s="146"/>
    </row>
    <row r="13" ht="28.8" customHeight="1" spans="1:88">
      <c r="A13" s="166" t="s">
        <v>94</v>
      </c>
      <c r="B13" s="141" t="s">
        <v>282</v>
      </c>
      <c r="C13" s="103">
        <v>105.50200222451</v>
      </c>
      <c r="D13" s="104">
        <f t="shared" si="0"/>
        <v>0.971674531472748</v>
      </c>
      <c r="E13" s="103">
        <v>105.489456080506</v>
      </c>
      <c r="F13" s="104">
        <f t="shared" si="1"/>
        <v>1.03392683436051</v>
      </c>
      <c r="G13" s="103">
        <v>113.009439040076</v>
      </c>
      <c r="H13" s="104">
        <f t="shared" si="2"/>
        <v>0.329943116912524</v>
      </c>
      <c r="I13" s="103">
        <v>105.38726094567</v>
      </c>
      <c r="J13" s="104">
        <f t="shared" si="3"/>
        <v>0.0369930675829002</v>
      </c>
      <c r="K13" s="103">
        <v>127.58060629027</v>
      </c>
      <c r="L13" s="104">
        <f t="shared" si="4"/>
        <v>0.152679449903867</v>
      </c>
      <c r="M13" s="103">
        <v>143.030800211988</v>
      </c>
      <c r="N13" s="104">
        <f t="shared" si="5"/>
        <v>0.288611888023781</v>
      </c>
      <c r="O13" s="103">
        <v>160.481676414193</v>
      </c>
      <c r="P13" s="104">
        <f t="shared" si="6"/>
        <v>0.432983137675655</v>
      </c>
      <c r="Q13" s="127"/>
      <c r="R13" s="127"/>
      <c r="S13" s="103">
        <f t="shared" si="7"/>
        <v>860.481241207213</v>
      </c>
      <c r="T13" s="104">
        <f t="shared" si="8"/>
        <v>0.154880649875156</v>
      </c>
      <c r="U13" s="103"/>
      <c r="V13" s="103">
        <v>53.5088324875328</v>
      </c>
      <c r="W13" s="104">
        <f t="shared" si="9"/>
        <v>-0.467720578547919</v>
      </c>
      <c r="X13" s="103">
        <v>51.8649217358269</v>
      </c>
      <c r="Y13" s="104">
        <f t="shared" si="10"/>
        <v>-0.449469573413683</v>
      </c>
      <c r="Z13" s="103">
        <v>84.9731372740426</v>
      </c>
      <c r="AA13" s="104">
        <f t="shared" si="11"/>
        <v>-0.101331942577599</v>
      </c>
      <c r="AB13" s="103">
        <v>101.62773912396</v>
      </c>
      <c r="AC13" s="104">
        <f t="shared" si="12"/>
        <v>0.0230888860336962</v>
      </c>
      <c r="AD13" s="103">
        <v>110.681773931955</v>
      </c>
      <c r="AE13" s="104">
        <f t="shared" si="13"/>
        <v>0.103104614669968</v>
      </c>
      <c r="AF13" s="103">
        <v>110.996027229999</v>
      </c>
      <c r="AG13" s="104">
        <f t="shared" si="14"/>
        <v>-0.166396596617699</v>
      </c>
      <c r="AH13" s="103">
        <v>111.991322294622</v>
      </c>
      <c r="AI13" s="104">
        <f t="shared" si="15"/>
        <v>-0.213717925361395</v>
      </c>
      <c r="AJ13" s="103">
        <v>119.438641492749</v>
      </c>
      <c r="AK13" s="104">
        <f t="shared" si="16"/>
        <v>-0.17452981928398</v>
      </c>
      <c r="AL13" s="103">
        <v>107.111719061674</v>
      </c>
      <c r="AM13" s="104">
        <f t="shared" si="17"/>
        <v>-0.250938136800655</v>
      </c>
      <c r="AN13" s="103">
        <v>136.359763001134</v>
      </c>
      <c r="AO13" s="104">
        <f t="shared" si="18"/>
        <v>-0.0159176584483365</v>
      </c>
      <c r="AP13" s="103">
        <v>105.543525153158</v>
      </c>
      <c r="AQ13" s="104">
        <f t="shared" si="19"/>
        <v>-0.201255071296815</v>
      </c>
      <c r="AR13" s="103">
        <v>102.652411787364</v>
      </c>
      <c r="AS13" s="104">
        <f t="shared" si="20"/>
        <v>-0.277846234183515</v>
      </c>
      <c r="AT13" s="103">
        <f t="shared" si="21"/>
        <v>1196.74981457402</v>
      </c>
      <c r="AU13" s="104">
        <f t="shared" si="22"/>
        <v>-0.183151352414969</v>
      </c>
      <c r="AV13" s="104"/>
      <c r="AW13" s="103">
        <v>100.527712195896</v>
      </c>
      <c r="AX13" s="104"/>
      <c r="AY13" s="103">
        <v>94.209001412377</v>
      </c>
      <c r="AZ13" s="104"/>
      <c r="BA13" s="103">
        <v>94.5545316451619</v>
      </c>
      <c r="BB13" s="104"/>
      <c r="BC13" s="103">
        <v>99.3342225795744</v>
      </c>
      <c r="BD13" s="104"/>
      <c r="BE13" s="103">
        <v>100.336606755171</v>
      </c>
      <c r="BF13" s="104"/>
      <c r="BG13" s="103">
        <v>133.152080209412</v>
      </c>
      <c r="BH13" s="104"/>
      <c r="BI13" s="103">
        <v>142.43148344199</v>
      </c>
      <c r="BJ13" s="104"/>
      <c r="BK13" s="103">
        <v>144.691648811768</v>
      </c>
      <c r="BL13" s="104"/>
      <c r="BM13" s="103">
        <v>142.99448993997</v>
      </c>
      <c r="BN13" s="104"/>
      <c r="BO13" s="103">
        <v>138.565399706418</v>
      </c>
      <c r="BP13" s="104"/>
      <c r="BQ13" s="103">
        <v>132.136707677775</v>
      </c>
      <c r="BR13" s="104"/>
      <c r="BS13" s="103">
        <v>142.147582199897</v>
      </c>
      <c r="BT13" s="104"/>
      <c r="BU13" s="103">
        <f t="shared" si="23"/>
        <v>1465.08146657541</v>
      </c>
      <c r="BV13" s="104"/>
      <c r="BW13" s="162"/>
      <c r="BX13" s="163"/>
      <c r="BY13" s="163"/>
      <c r="BZ13" s="163"/>
      <c r="CA13" s="163"/>
      <c r="CB13" s="163"/>
      <c r="CC13" s="163"/>
      <c r="CD13" s="163"/>
      <c r="CE13" s="163"/>
      <c r="CF13" s="163"/>
      <c r="CG13" s="163"/>
      <c r="CH13" s="163"/>
      <c r="CI13" s="163"/>
      <c r="CJ13" s="146"/>
    </row>
    <row r="14" ht="28.8" customHeight="1" spans="1:88">
      <c r="A14" s="45"/>
      <c r="B14" s="141" t="s">
        <v>283</v>
      </c>
      <c r="C14" s="103">
        <v>476.220582183949</v>
      </c>
      <c r="D14" s="104">
        <f t="shared" si="0"/>
        <v>0.979522193354489</v>
      </c>
      <c r="E14" s="103">
        <v>487.407743743975</v>
      </c>
      <c r="F14" s="104">
        <f t="shared" si="1"/>
        <v>1.11052934521195</v>
      </c>
      <c r="G14" s="103">
        <v>516.516180091855</v>
      </c>
      <c r="H14" s="104">
        <f t="shared" si="2"/>
        <v>0.359516006318866</v>
      </c>
      <c r="I14" s="103">
        <v>485.825827411375</v>
      </c>
      <c r="J14" s="104">
        <f t="shared" si="3"/>
        <v>0.0609328835261296</v>
      </c>
      <c r="K14" s="103">
        <v>590.271172925212</v>
      </c>
      <c r="L14" s="104">
        <f t="shared" si="4"/>
        <v>0.187018697905181</v>
      </c>
      <c r="M14" s="103">
        <v>657.096218608149</v>
      </c>
      <c r="N14" s="104">
        <f t="shared" si="5"/>
        <v>0.321541077708066</v>
      </c>
      <c r="O14" s="103">
        <v>734.764931523341</v>
      </c>
      <c r="P14" s="104">
        <f t="shared" si="6"/>
        <v>0.459888579008126</v>
      </c>
      <c r="Q14" s="127"/>
      <c r="R14" s="127"/>
      <c r="S14" s="103">
        <f t="shared" si="7"/>
        <v>3948.10265648786</v>
      </c>
      <c r="T14" s="104">
        <f t="shared" si="8"/>
        <v>0.179630638662867</v>
      </c>
      <c r="U14" s="103"/>
      <c r="V14" s="103">
        <v>240.573499899462</v>
      </c>
      <c r="W14" s="104">
        <f t="shared" si="9"/>
        <v>-0.431167150540932</v>
      </c>
      <c r="X14" s="103">
        <v>230.940993476225</v>
      </c>
      <c r="Y14" s="104">
        <f t="shared" si="10"/>
        <v>-0.449327365048173</v>
      </c>
      <c r="Z14" s="103">
        <v>379.9265162684</v>
      </c>
      <c r="AA14" s="104">
        <f t="shared" si="11"/>
        <v>-0.0731649731960314</v>
      </c>
      <c r="AB14" s="103">
        <v>457.92324373685</v>
      </c>
      <c r="AC14" s="104">
        <f t="shared" si="12"/>
        <v>0.0467139963016823</v>
      </c>
      <c r="AD14" s="103">
        <v>497.272009250492</v>
      </c>
      <c r="AE14" s="104">
        <f t="shared" si="13"/>
        <v>0.123652099651035</v>
      </c>
      <c r="AF14" s="103">
        <v>497.219670044418</v>
      </c>
      <c r="AG14" s="104">
        <f t="shared" si="14"/>
        <v>-0.175342633234801</v>
      </c>
      <c r="AH14" s="103">
        <v>503.302061601546</v>
      </c>
      <c r="AI14" s="104">
        <f t="shared" si="15"/>
        <v>-0.228129574035095</v>
      </c>
      <c r="AJ14" s="103">
        <v>539.739354000286</v>
      </c>
      <c r="AK14" s="104">
        <f t="shared" si="16"/>
        <v>-0.202474419239123</v>
      </c>
      <c r="AL14" s="103">
        <v>480.109198530929</v>
      </c>
      <c r="AM14" s="104">
        <f t="shared" si="17"/>
        <v>-0.269127211070598</v>
      </c>
      <c r="AN14" s="103">
        <v>623.394777939499</v>
      </c>
      <c r="AO14" s="104">
        <f t="shared" si="18"/>
        <v>-0.0223549986614129</v>
      </c>
      <c r="AP14" s="103">
        <v>481.952633935792</v>
      </c>
      <c r="AQ14" s="104">
        <f t="shared" si="19"/>
        <v>-0.213152430104264</v>
      </c>
      <c r="AR14" s="103">
        <v>471.963121071638</v>
      </c>
      <c r="AS14" s="104">
        <f t="shared" si="20"/>
        <v>-0.291692698272007</v>
      </c>
      <c r="AT14" s="103">
        <f t="shared" si="21"/>
        <v>5404.31707975554</v>
      </c>
      <c r="AU14" s="104">
        <f t="shared" si="22"/>
        <v>-0.18577881112883</v>
      </c>
      <c r="AV14" s="104"/>
      <c r="AW14" s="103">
        <v>422.924766261716</v>
      </c>
      <c r="AX14" s="104"/>
      <c r="AY14" s="103">
        <v>419.379825359268</v>
      </c>
      <c r="AZ14" s="104"/>
      <c r="BA14" s="103">
        <v>409.918168046056</v>
      </c>
      <c r="BB14" s="104"/>
      <c r="BC14" s="103">
        <v>437.486500949461</v>
      </c>
      <c r="BD14" s="104"/>
      <c r="BE14" s="103">
        <v>442.54979757963</v>
      </c>
      <c r="BF14" s="104"/>
      <c r="BG14" s="103">
        <v>602.940918353536</v>
      </c>
      <c r="BH14" s="104"/>
      <c r="BI14" s="103">
        <v>652.05511789414</v>
      </c>
      <c r="BJ14" s="104"/>
      <c r="BK14" s="103">
        <v>676.76745050027</v>
      </c>
      <c r="BL14" s="104"/>
      <c r="BM14" s="103">
        <v>656.898444986854</v>
      </c>
      <c r="BN14" s="104"/>
      <c r="BO14" s="103">
        <v>637.64943009574</v>
      </c>
      <c r="BP14" s="104"/>
      <c r="BQ14" s="103">
        <v>612.510799264024</v>
      </c>
      <c r="BR14" s="104"/>
      <c r="BS14" s="103">
        <v>666.325364598434</v>
      </c>
      <c r="BT14" s="104"/>
      <c r="BU14" s="103">
        <f t="shared" si="23"/>
        <v>6637.40658388913</v>
      </c>
      <c r="BV14" s="104"/>
      <c r="BW14" s="162"/>
      <c r="BX14" s="165"/>
      <c r="BY14" s="165"/>
      <c r="BZ14" s="165"/>
      <c r="CA14" s="165"/>
      <c r="CB14" s="165"/>
      <c r="CC14" s="165"/>
      <c r="CD14" s="165"/>
      <c r="CE14" s="165"/>
      <c r="CF14" s="165"/>
      <c r="CG14" s="165"/>
      <c r="CH14" s="165"/>
      <c r="CI14" s="165"/>
      <c r="CJ14" s="146"/>
    </row>
    <row r="15" ht="28.8" customHeight="1" spans="1:88">
      <c r="A15" s="45"/>
      <c r="B15" s="141" t="s">
        <v>284</v>
      </c>
      <c r="C15" s="103">
        <v>91.9022366829623</v>
      </c>
      <c r="D15" s="104">
        <f t="shared" si="0"/>
        <v>0.846913522282521</v>
      </c>
      <c r="E15" s="103">
        <v>93.6666426049648</v>
      </c>
      <c r="F15" s="104">
        <f t="shared" si="1"/>
        <v>1.04539875659445</v>
      </c>
      <c r="G15" s="103">
        <v>99.0809971039547</v>
      </c>
      <c r="H15" s="104">
        <f t="shared" si="2"/>
        <v>0.290662055847494</v>
      </c>
      <c r="I15" s="103">
        <v>92.405622697592</v>
      </c>
      <c r="J15" s="104">
        <f t="shared" si="3"/>
        <v>0.0129074830113929</v>
      </c>
      <c r="K15" s="103">
        <v>111.971884738206</v>
      </c>
      <c r="L15" s="104">
        <f t="shared" si="4"/>
        <v>0.144501923066089</v>
      </c>
      <c r="M15" s="103">
        <v>125.196875683853</v>
      </c>
      <c r="N15" s="104">
        <f t="shared" si="5"/>
        <v>0.248986915494811</v>
      </c>
      <c r="O15" s="103">
        <v>140.344963641575</v>
      </c>
      <c r="P15" s="104">
        <f t="shared" si="6"/>
        <v>0.446292660124999</v>
      </c>
      <c r="Q15" s="127"/>
      <c r="R15" s="127"/>
      <c r="S15" s="103">
        <f t="shared" si="7"/>
        <v>754.569223153108</v>
      </c>
      <c r="T15" s="104">
        <f t="shared" si="8"/>
        <v>0.14473175373603</v>
      </c>
      <c r="U15" s="103"/>
      <c r="V15" s="103">
        <v>49.759902439495</v>
      </c>
      <c r="W15" s="104">
        <f t="shared" si="9"/>
        <v>-0.476367518055637</v>
      </c>
      <c r="X15" s="103">
        <v>45.7938298353705</v>
      </c>
      <c r="Y15" s="104">
        <f t="shared" si="10"/>
        <v>-0.483661319336011</v>
      </c>
      <c r="Z15" s="103">
        <v>76.7675757221317</v>
      </c>
      <c r="AA15" s="104">
        <f t="shared" si="11"/>
        <v>-0.110081291185922</v>
      </c>
      <c r="AB15" s="103">
        <v>91.228097577943</v>
      </c>
      <c r="AC15" s="104">
        <f t="shared" si="12"/>
        <v>0.017484813626236</v>
      </c>
      <c r="AD15" s="103">
        <v>97.8345972877323</v>
      </c>
      <c r="AE15" s="104">
        <f t="shared" si="13"/>
        <v>0.086812500330971</v>
      </c>
      <c r="AF15" s="103">
        <v>100.238740799181</v>
      </c>
      <c r="AG15" s="104">
        <f t="shared" si="14"/>
        <v>-0.142969006029031</v>
      </c>
      <c r="AH15" s="103">
        <v>97.0377348312377</v>
      </c>
      <c r="AI15" s="104">
        <f t="shared" si="15"/>
        <v>-0.203683540605489</v>
      </c>
      <c r="AJ15" s="103">
        <v>100.506370587875</v>
      </c>
      <c r="AK15" s="104">
        <f t="shared" si="16"/>
        <v>-0.265709770488521</v>
      </c>
      <c r="AL15" s="103">
        <v>92.125854853775</v>
      </c>
      <c r="AM15" s="104">
        <f t="shared" si="17"/>
        <v>-0.256785614752879</v>
      </c>
      <c r="AN15" s="103">
        <v>120.408802125183</v>
      </c>
      <c r="AO15" s="104">
        <f t="shared" si="18"/>
        <v>-0.0462461333185799</v>
      </c>
      <c r="AP15" s="103">
        <v>93.914943415261</v>
      </c>
      <c r="AQ15" s="104">
        <f t="shared" si="19"/>
        <v>-0.21038239621583</v>
      </c>
      <c r="AR15" s="103">
        <v>90.8923771151726</v>
      </c>
      <c r="AS15" s="104">
        <f t="shared" si="20"/>
        <v>-0.291881676535893</v>
      </c>
      <c r="AT15" s="103">
        <f t="shared" si="21"/>
        <v>1056.50882659036</v>
      </c>
      <c r="AU15" s="104">
        <f t="shared" si="22"/>
        <v>-0.201341252368097</v>
      </c>
      <c r="AV15" s="104"/>
      <c r="AW15" s="103">
        <v>95.0282959046495</v>
      </c>
      <c r="AX15" s="104"/>
      <c r="AY15" s="103">
        <v>88.6895201740098</v>
      </c>
      <c r="AZ15" s="104"/>
      <c r="BA15" s="103">
        <v>86.2635822371164</v>
      </c>
      <c r="BB15" s="104"/>
      <c r="BC15" s="103">
        <v>89.6604021565818</v>
      </c>
      <c r="BD15" s="104"/>
      <c r="BE15" s="103">
        <v>90.0197570951184</v>
      </c>
      <c r="BF15" s="104"/>
      <c r="BG15" s="103">
        <v>116.960461761989</v>
      </c>
      <c r="BH15" s="104"/>
      <c r="BI15" s="103">
        <v>121.858255830881</v>
      </c>
      <c r="BJ15" s="104"/>
      <c r="BK15" s="103">
        <v>136.875538511171</v>
      </c>
      <c r="BL15" s="104"/>
      <c r="BM15" s="103">
        <v>123.955963020203</v>
      </c>
      <c r="BN15" s="104"/>
      <c r="BO15" s="103">
        <v>126.247249244865</v>
      </c>
      <c r="BP15" s="104"/>
      <c r="BQ15" s="103">
        <v>118.937246288814</v>
      </c>
      <c r="BR15" s="104"/>
      <c r="BS15" s="103">
        <v>128.357612143869</v>
      </c>
      <c r="BT15" s="104"/>
      <c r="BU15" s="103">
        <f t="shared" si="23"/>
        <v>1322.85388436927</v>
      </c>
      <c r="BV15" s="104"/>
      <c r="BW15" s="162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65"/>
      <c r="CI15" s="165"/>
      <c r="CJ15" s="146"/>
    </row>
    <row r="16" ht="28.8" customHeight="1" spans="1:88">
      <c r="A16" s="29"/>
      <c r="B16" s="141" t="s">
        <v>276</v>
      </c>
      <c r="C16" s="103">
        <v>311.273970318515</v>
      </c>
      <c r="D16" s="104">
        <f t="shared" si="0"/>
        <v>1.01263133761626</v>
      </c>
      <c r="E16" s="103">
        <v>343.841583796056</v>
      </c>
      <c r="F16" s="104">
        <f t="shared" si="1"/>
        <v>1.52455206055113</v>
      </c>
      <c r="G16" s="103">
        <v>355.26173749806</v>
      </c>
      <c r="H16" s="104">
        <f t="shared" si="2"/>
        <v>0.543769890433295</v>
      </c>
      <c r="I16" s="103">
        <v>338.702119939367</v>
      </c>
      <c r="J16" s="104">
        <f t="shared" si="3"/>
        <v>0.199202859457343</v>
      </c>
      <c r="K16" s="103">
        <v>415.229320538338</v>
      </c>
      <c r="L16" s="104">
        <f t="shared" si="4"/>
        <v>0.382401920445146</v>
      </c>
      <c r="M16" s="103">
        <v>452.527952211485</v>
      </c>
      <c r="N16" s="104">
        <f t="shared" si="5"/>
        <v>0.436806622653804</v>
      </c>
      <c r="O16" s="103">
        <v>503.857330974408</v>
      </c>
      <c r="P16" s="104">
        <f t="shared" si="6"/>
        <v>0.671253474131849</v>
      </c>
      <c r="Q16" s="127"/>
      <c r="R16" s="127"/>
      <c r="S16" s="103">
        <f t="shared" si="7"/>
        <v>2720.69401527623</v>
      </c>
      <c r="T16" s="104">
        <f t="shared" si="8"/>
        <v>0.330770912930625</v>
      </c>
      <c r="U16" s="103"/>
      <c r="V16" s="103">
        <v>154.660202542203</v>
      </c>
      <c r="W16" s="104">
        <f t="shared" si="9"/>
        <v>-0.39211270469287</v>
      </c>
      <c r="X16" s="103">
        <v>136.199046622549</v>
      </c>
      <c r="Y16" s="104">
        <f t="shared" si="10"/>
        <v>-0.526690088280822</v>
      </c>
      <c r="Z16" s="103">
        <v>230.126095669833</v>
      </c>
      <c r="AA16" s="104">
        <f t="shared" si="11"/>
        <v>-0.0528914711401091</v>
      </c>
      <c r="AB16" s="103">
        <v>282.439386521005</v>
      </c>
      <c r="AC16" s="104">
        <f t="shared" si="12"/>
        <v>0.114357595263642</v>
      </c>
      <c r="AD16" s="103">
        <v>300.368014827866</v>
      </c>
      <c r="AE16" s="104">
        <f t="shared" si="13"/>
        <v>0.178564058204707</v>
      </c>
      <c r="AF16" s="103">
        <v>314.953971589899</v>
      </c>
      <c r="AG16" s="104">
        <f t="shared" si="14"/>
        <v>-0.191539177545013</v>
      </c>
      <c r="AH16" s="103">
        <v>301.484687256158</v>
      </c>
      <c r="AI16" s="104">
        <f t="shared" si="15"/>
        <v>-0.268702560933227</v>
      </c>
      <c r="AJ16" s="103">
        <v>324.218160887669</v>
      </c>
      <c r="AK16" s="104">
        <f t="shared" si="16"/>
        <v>-0.353260097711185</v>
      </c>
      <c r="AL16" s="103">
        <v>291.274739339477</v>
      </c>
      <c r="AM16" s="104">
        <f t="shared" si="17"/>
        <v>-0.320564435778771</v>
      </c>
      <c r="AN16" s="103">
        <v>417.850404957144</v>
      </c>
      <c r="AO16" s="104">
        <f t="shared" si="18"/>
        <v>-0.0396158849761293</v>
      </c>
      <c r="AP16" s="103">
        <v>328.44382775191</v>
      </c>
      <c r="AQ16" s="104">
        <f t="shared" si="19"/>
        <v>-0.219331923273564</v>
      </c>
      <c r="AR16" s="103">
        <v>324.89006551154</v>
      </c>
      <c r="AS16" s="104">
        <f t="shared" si="20"/>
        <v>-0.324806749645593</v>
      </c>
      <c r="AT16" s="103">
        <f t="shared" si="21"/>
        <v>3406.90860347725</v>
      </c>
      <c r="AU16" s="104">
        <f t="shared" si="22"/>
        <v>-0.219012173751393</v>
      </c>
      <c r="AV16" s="104"/>
      <c r="AW16" s="103">
        <v>254.422495314797</v>
      </c>
      <c r="AX16" s="104"/>
      <c r="AY16" s="103">
        <v>287.758703653259</v>
      </c>
      <c r="AZ16" s="104"/>
      <c r="BA16" s="103">
        <v>242.977534947187</v>
      </c>
      <c r="BB16" s="104"/>
      <c r="BC16" s="103">
        <v>253.454894300948</v>
      </c>
      <c r="BD16" s="104"/>
      <c r="BE16" s="103">
        <v>254.859303350395</v>
      </c>
      <c r="BF16" s="104"/>
      <c r="BG16" s="103">
        <v>389.57233652152</v>
      </c>
      <c r="BH16" s="104"/>
      <c r="BI16" s="103">
        <v>412.260006873387</v>
      </c>
      <c r="BJ16" s="104"/>
      <c r="BK16" s="103">
        <v>501.311516020984</v>
      </c>
      <c r="BL16" s="104"/>
      <c r="BM16" s="103">
        <v>428.701049338412</v>
      </c>
      <c r="BN16" s="104"/>
      <c r="BO16" s="103">
        <v>435.086751665773</v>
      </c>
      <c r="BP16" s="104"/>
      <c r="BQ16" s="103">
        <v>420.72147887636</v>
      </c>
      <c r="BR16" s="104"/>
      <c r="BS16" s="103">
        <v>481.180855023367</v>
      </c>
      <c r="BT16" s="104"/>
      <c r="BU16" s="103">
        <f t="shared" si="23"/>
        <v>4362.30692588639</v>
      </c>
      <c r="BV16" s="104"/>
      <c r="BW16" s="162"/>
      <c r="BX16" s="165"/>
      <c r="BY16" s="165"/>
      <c r="BZ16" s="165"/>
      <c r="CA16" s="165"/>
      <c r="CB16" s="165"/>
      <c r="CC16" s="165"/>
      <c r="CD16" s="165"/>
      <c r="CE16" s="165"/>
      <c r="CF16" s="165"/>
      <c r="CG16" s="165"/>
      <c r="CH16" s="165"/>
      <c r="CI16" s="165"/>
      <c r="CJ16" s="146"/>
    </row>
    <row r="17" ht="28.8" customHeight="1" spans="1:88">
      <c r="A17" s="166" t="s">
        <v>95</v>
      </c>
      <c r="B17" s="141" t="s">
        <v>282</v>
      </c>
      <c r="C17" s="103">
        <v>191.793770327456</v>
      </c>
      <c r="D17" s="104">
        <f t="shared" si="0"/>
        <v>0.743441685378257</v>
      </c>
      <c r="E17" s="103">
        <v>221.004039639405</v>
      </c>
      <c r="F17" s="104">
        <f t="shared" si="1"/>
        <v>1.13330647867989</v>
      </c>
      <c r="G17" s="103">
        <v>302.405466914071</v>
      </c>
      <c r="H17" s="104">
        <f t="shared" si="2"/>
        <v>1.50803993635328</v>
      </c>
      <c r="I17" s="103">
        <v>283.159255199031</v>
      </c>
      <c r="J17" s="104">
        <f t="shared" si="3"/>
        <v>1.13234846425639</v>
      </c>
      <c r="K17" s="103">
        <v>316.984323621391</v>
      </c>
      <c r="L17" s="104">
        <f t="shared" si="4"/>
        <v>1.14043012599308</v>
      </c>
      <c r="M17" s="103">
        <v>309.996026118058</v>
      </c>
      <c r="N17" s="104">
        <f t="shared" si="5"/>
        <v>1.03051415842001</v>
      </c>
      <c r="O17" s="103">
        <v>351.73652901465</v>
      </c>
      <c r="P17" s="104">
        <f t="shared" si="6"/>
        <v>1.51916591475795</v>
      </c>
      <c r="Q17" s="127"/>
      <c r="R17" s="127"/>
      <c r="S17" s="103">
        <f t="shared" si="7"/>
        <v>1977.07941083406</v>
      </c>
      <c r="T17" s="104">
        <f t="shared" si="8"/>
        <v>0.830429478747585</v>
      </c>
      <c r="U17" s="103"/>
      <c r="V17" s="103">
        <v>110.008709746919</v>
      </c>
      <c r="W17" s="104">
        <f t="shared" si="9"/>
        <v>-0.353816960392397</v>
      </c>
      <c r="X17" s="103">
        <v>103.596947671656</v>
      </c>
      <c r="Y17" s="104">
        <f t="shared" si="10"/>
        <v>-0.32936063856522</v>
      </c>
      <c r="Z17" s="103">
        <v>120.574422492559</v>
      </c>
      <c r="AA17" s="104">
        <f t="shared" si="11"/>
        <v>-0.236929400759985</v>
      </c>
      <c r="AB17" s="103">
        <v>132.79220537614</v>
      </c>
      <c r="AC17" s="104">
        <f t="shared" si="12"/>
        <v>-0.167793650947083</v>
      </c>
      <c r="AD17" s="103">
        <v>148.09374983653</v>
      </c>
      <c r="AE17" s="104">
        <f t="shared" si="13"/>
        <v>-0.0774311453239603</v>
      </c>
      <c r="AF17" s="103">
        <v>152.668734090125</v>
      </c>
      <c r="AG17" s="104">
        <f t="shared" si="14"/>
        <v>-0.13122122171666</v>
      </c>
      <c r="AH17" s="103">
        <v>139.624201389072</v>
      </c>
      <c r="AI17" s="104">
        <f t="shared" si="15"/>
        <v>-0.309742627243787</v>
      </c>
      <c r="AJ17" s="103">
        <v>172.758801640712</v>
      </c>
      <c r="AK17" s="104">
        <f t="shared" si="16"/>
        <v>-0.166064942010105</v>
      </c>
      <c r="AL17" s="103">
        <v>165.990681696783</v>
      </c>
      <c r="AM17" s="104">
        <f t="shared" si="17"/>
        <v>-0.0849921267693431</v>
      </c>
      <c r="AN17" s="103">
        <v>190.49954760668</v>
      </c>
      <c r="AO17" s="104">
        <f t="shared" si="18"/>
        <v>0.187767302668183</v>
      </c>
      <c r="AP17" s="103">
        <v>136.365325334875</v>
      </c>
      <c r="AQ17" s="104">
        <f t="shared" si="19"/>
        <v>-0.133022461782888</v>
      </c>
      <c r="AR17" s="103">
        <v>183.500611562586</v>
      </c>
      <c r="AS17" s="104">
        <f t="shared" si="20"/>
        <v>-0.0507694593559364</v>
      </c>
      <c r="AT17" s="103">
        <f t="shared" si="21"/>
        <v>1756.47393844464</v>
      </c>
      <c r="AU17" s="104">
        <f t="shared" si="22"/>
        <v>-0.155697622392873</v>
      </c>
      <c r="AV17" s="104"/>
      <c r="AW17" s="103">
        <v>170.243882930945</v>
      </c>
      <c r="AX17" s="104"/>
      <c r="AY17" s="103">
        <v>154.474899072459</v>
      </c>
      <c r="AZ17" s="104"/>
      <c r="BA17" s="103">
        <v>158.012145419632</v>
      </c>
      <c r="BB17" s="104"/>
      <c r="BC17" s="103">
        <v>159.566441096325</v>
      </c>
      <c r="BD17" s="104"/>
      <c r="BE17" s="103">
        <v>160.523248845782</v>
      </c>
      <c r="BF17" s="104"/>
      <c r="BG17" s="103">
        <v>175.727973456937</v>
      </c>
      <c r="BH17" s="104"/>
      <c r="BI17" s="103">
        <v>202.278464381408</v>
      </c>
      <c r="BJ17" s="104"/>
      <c r="BK17" s="103">
        <v>207.160977327332</v>
      </c>
      <c r="BL17" s="104"/>
      <c r="BM17" s="103">
        <v>181.409020133032</v>
      </c>
      <c r="BN17" s="104"/>
      <c r="BO17" s="103">
        <v>160.384569585932</v>
      </c>
      <c r="BP17" s="104"/>
      <c r="BQ17" s="103">
        <v>157.288187206444</v>
      </c>
      <c r="BR17" s="104"/>
      <c r="BS17" s="103">
        <v>193.315115459811</v>
      </c>
      <c r="BT17" s="104"/>
      <c r="BU17" s="103">
        <f t="shared" si="23"/>
        <v>2080.38492491604</v>
      </c>
      <c r="BV17" s="104"/>
      <c r="BW17" s="162"/>
      <c r="BX17" s="163"/>
      <c r="BY17" s="163"/>
      <c r="BZ17" s="163"/>
      <c r="CA17" s="163"/>
      <c r="CB17" s="163"/>
      <c r="CC17" s="163"/>
      <c r="CD17" s="163"/>
      <c r="CE17" s="163"/>
      <c r="CF17" s="163"/>
      <c r="CG17" s="163"/>
      <c r="CH17" s="163"/>
      <c r="CI17" s="163"/>
      <c r="CJ17" s="146"/>
    </row>
    <row r="18" ht="28.8" customHeight="1" spans="1:88">
      <c r="A18" s="45"/>
      <c r="B18" s="141" t="s">
        <v>283</v>
      </c>
      <c r="C18" s="103">
        <v>1066.57810558822</v>
      </c>
      <c r="D18" s="104">
        <f t="shared" si="0"/>
        <v>0.753227082409997</v>
      </c>
      <c r="E18" s="103">
        <v>1264.16635737588</v>
      </c>
      <c r="F18" s="104">
        <f t="shared" si="1"/>
        <v>1.16469273782603</v>
      </c>
      <c r="G18" s="103">
        <v>1733.23075215571</v>
      </c>
      <c r="H18" s="104">
        <f t="shared" si="2"/>
        <v>1.60114625719718</v>
      </c>
      <c r="I18" s="103">
        <v>1629.06280710187</v>
      </c>
      <c r="J18" s="104">
        <f t="shared" si="3"/>
        <v>1.25755070126243</v>
      </c>
      <c r="K18" s="103">
        <v>1836.15367458479</v>
      </c>
      <c r="L18" s="104">
        <f t="shared" si="4"/>
        <v>1.28070451815777</v>
      </c>
      <c r="M18" s="103">
        <v>1780.18664724509</v>
      </c>
      <c r="N18" s="104">
        <f t="shared" si="5"/>
        <v>1.14769174874619</v>
      </c>
      <c r="O18" s="103">
        <v>2000.1475630024</v>
      </c>
      <c r="P18" s="104">
        <f t="shared" si="6"/>
        <v>1.62999170403287</v>
      </c>
      <c r="Q18" s="127"/>
      <c r="R18" s="127"/>
      <c r="S18" s="103">
        <f t="shared" si="7"/>
        <v>11309.525907054</v>
      </c>
      <c r="T18" s="104">
        <f t="shared" si="8"/>
        <v>0.949146085147231</v>
      </c>
      <c r="U18" s="103"/>
      <c r="V18" s="103">
        <v>608.351374610353</v>
      </c>
      <c r="W18" s="104">
        <f t="shared" si="9"/>
        <v>-0.323870968696851</v>
      </c>
      <c r="X18" s="103">
        <v>583.99343947791</v>
      </c>
      <c r="Y18" s="104">
        <f t="shared" si="10"/>
        <v>-0.289925797925302</v>
      </c>
      <c r="Z18" s="103">
        <v>666.333447171602</v>
      </c>
      <c r="AA18" s="104">
        <f t="shared" si="11"/>
        <v>-0.172860039738065</v>
      </c>
      <c r="AB18" s="103">
        <v>721.606299336219</v>
      </c>
      <c r="AC18" s="104">
        <f t="shared" si="12"/>
        <v>-0.129816208096272</v>
      </c>
      <c r="AD18" s="103">
        <v>805.081789405993</v>
      </c>
      <c r="AE18" s="104">
        <f t="shared" si="13"/>
        <v>-0.0247840961280581</v>
      </c>
      <c r="AF18" s="103">
        <v>828.88368327734</v>
      </c>
      <c r="AG18" s="104">
        <f t="shared" si="14"/>
        <v>-0.100466528234731</v>
      </c>
      <c r="AH18" s="103">
        <v>760.514780307231</v>
      </c>
      <c r="AI18" s="104">
        <f t="shared" si="15"/>
        <v>-0.296868009374655</v>
      </c>
      <c r="AJ18" s="103">
        <v>827.532917319284</v>
      </c>
      <c r="AK18" s="104">
        <f t="shared" si="16"/>
        <v>-0.271291697274416</v>
      </c>
      <c r="AL18" s="103">
        <v>895.804485604588</v>
      </c>
      <c r="AM18" s="104">
        <f t="shared" si="17"/>
        <v>-0.0781147338988248</v>
      </c>
      <c r="AN18" s="103">
        <v>917.934053819116</v>
      </c>
      <c r="AO18" s="104">
        <f t="shared" si="18"/>
        <v>0.0398975191346524</v>
      </c>
      <c r="AP18" s="103">
        <v>748.481694239362</v>
      </c>
      <c r="AQ18" s="104">
        <f t="shared" si="19"/>
        <v>-0.12257713855833</v>
      </c>
      <c r="AR18" s="103">
        <v>1009.0381875402</v>
      </c>
      <c r="AS18" s="104">
        <f t="shared" si="20"/>
        <v>-0.0689698582389523</v>
      </c>
      <c r="AT18" s="103">
        <f t="shared" si="21"/>
        <v>9373.5561521092</v>
      </c>
      <c r="AU18" s="104">
        <f t="shared" si="22"/>
        <v>-0.156487404982543</v>
      </c>
      <c r="AV18" s="104"/>
      <c r="AW18" s="103">
        <v>899.756328223086</v>
      </c>
      <c r="AX18" s="104"/>
      <c r="AY18" s="103">
        <v>822.440017918684</v>
      </c>
      <c r="AZ18" s="104"/>
      <c r="BA18" s="103">
        <v>805.58729983326</v>
      </c>
      <c r="BB18" s="104"/>
      <c r="BC18" s="103">
        <v>829.257343161424</v>
      </c>
      <c r="BD18" s="104"/>
      <c r="BE18" s="103">
        <v>825.542104276132</v>
      </c>
      <c r="BF18" s="104"/>
      <c r="BG18" s="103">
        <v>921.459522401891</v>
      </c>
      <c r="BH18" s="104"/>
      <c r="BI18" s="103">
        <v>1081.61026727123</v>
      </c>
      <c r="BJ18" s="104"/>
      <c r="BK18" s="103">
        <v>1135.61615014412</v>
      </c>
      <c r="BL18" s="104"/>
      <c r="BM18" s="103">
        <v>971.709298916461</v>
      </c>
      <c r="BN18" s="104"/>
      <c r="BO18" s="103">
        <v>882.715880102274</v>
      </c>
      <c r="BP18" s="104"/>
      <c r="BQ18" s="103">
        <v>853.045580564828</v>
      </c>
      <c r="BR18" s="104"/>
      <c r="BS18" s="103">
        <v>1083.78681020101</v>
      </c>
      <c r="BT18" s="104"/>
      <c r="BU18" s="103">
        <f t="shared" si="23"/>
        <v>11112.5266030144</v>
      </c>
      <c r="BV18" s="104"/>
      <c r="BW18" s="162"/>
      <c r="BX18" s="165"/>
      <c r="BY18" s="165"/>
      <c r="BZ18" s="165"/>
      <c r="CA18" s="165"/>
      <c r="CB18" s="165"/>
      <c r="CC18" s="165"/>
      <c r="CD18" s="165"/>
      <c r="CE18" s="165"/>
      <c r="CF18" s="165"/>
      <c r="CG18" s="165"/>
      <c r="CH18" s="165"/>
      <c r="CI18" s="165"/>
      <c r="CJ18" s="146"/>
    </row>
    <row r="19" ht="28.8" customHeight="1" spans="1:88">
      <c r="A19" s="45"/>
      <c r="B19" s="141" t="s">
        <v>284</v>
      </c>
      <c r="C19" s="103">
        <v>181.125727401676</v>
      </c>
      <c r="D19" s="104">
        <f t="shared" si="0"/>
        <v>0.727192815142131</v>
      </c>
      <c r="E19" s="103">
        <v>211.887181727948</v>
      </c>
      <c r="F19" s="104">
        <f t="shared" si="1"/>
        <v>1.18768436603745</v>
      </c>
      <c r="G19" s="103">
        <v>288.47220703224</v>
      </c>
      <c r="H19" s="104">
        <f t="shared" si="2"/>
        <v>1.58341638615377</v>
      </c>
      <c r="I19" s="103">
        <v>270.970208016101</v>
      </c>
      <c r="J19" s="104">
        <f t="shared" si="3"/>
        <v>1.21755501487804</v>
      </c>
      <c r="K19" s="103">
        <v>303.078334373472</v>
      </c>
      <c r="L19" s="104">
        <f t="shared" si="4"/>
        <v>1.1841559728197</v>
      </c>
      <c r="M19" s="103">
        <v>295.230346428337</v>
      </c>
      <c r="N19" s="104">
        <f t="shared" si="5"/>
        <v>1.04077567997424</v>
      </c>
      <c r="O19" s="103">
        <v>334.437675868343</v>
      </c>
      <c r="P19" s="104">
        <f t="shared" si="6"/>
        <v>1.58852327548804</v>
      </c>
      <c r="Q19" s="127"/>
      <c r="R19" s="127"/>
      <c r="S19" s="103">
        <f t="shared" si="7"/>
        <v>1885.20168084812</v>
      </c>
      <c r="T19" s="104">
        <f t="shared" si="8"/>
        <v>0.871806228124002</v>
      </c>
      <c r="U19" s="103"/>
      <c r="V19" s="103">
        <v>104.867114900991</v>
      </c>
      <c r="W19" s="104">
        <f t="shared" si="9"/>
        <v>-0.347370215895123</v>
      </c>
      <c r="X19" s="103">
        <v>96.8545485890812</v>
      </c>
      <c r="Y19" s="104">
        <f t="shared" si="10"/>
        <v>-0.331514717001785</v>
      </c>
      <c r="Z19" s="103">
        <v>111.663070877135</v>
      </c>
      <c r="AA19" s="104">
        <f t="shared" si="11"/>
        <v>-0.235226283192642</v>
      </c>
      <c r="AB19" s="103">
        <v>122.193229118604</v>
      </c>
      <c r="AC19" s="104">
        <f t="shared" si="12"/>
        <v>-0.173245770107366</v>
      </c>
      <c r="AD19" s="103">
        <v>138.762221263074</v>
      </c>
      <c r="AE19" s="104">
        <f t="shared" si="13"/>
        <v>-0.0644479938402156</v>
      </c>
      <c r="AF19" s="103">
        <v>144.665751030541</v>
      </c>
      <c r="AG19" s="104">
        <f t="shared" si="14"/>
        <v>-0.137542713765466</v>
      </c>
      <c r="AH19" s="103">
        <v>129.200181058943</v>
      </c>
      <c r="AI19" s="104">
        <f t="shared" si="15"/>
        <v>-0.332788515800369</v>
      </c>
      <c r="AJ19" s="103">
        <v>158.95031448601</v>
      </c>
      <c r="AK19" s="104">
        <f t="shared" si="16"/>
        <v>-0.209399487241048</v>
      </c>
      <c r="AL19" s="103">
        <v>151.611249275491</v>
      </c>
      <c r="AM19" s="104">
        <f t="shared" si="17"/>
        <v>-0.123886254940696</v>
      </c>
      <c r="AN19" s="103">
        <v>179.274088324263</v>
      </c>
      <c r="AO19" s="104">
        <f t="shared" si="18"/>
        <v>0.172528059304098</v>
      </c>
      <c r="AP19" s="103">
        <v>128.784684526043</v>
      </c>
      <c r="AQ19" s="104">
        <f t="shared" si="19"/>
        <v>-0.145329273260207</v>
      </c>
      <c r="AR19" s="103">
        <v>173.241317425104</v>
      </c>
      <c r="AS19" s="104">
        <f t="shared" si="20"/>
        <v>-0.0681544138799912</v>
      </c>
      <c r="AT19" s="103">
        <f t="shared" si="21"/>
        <v>1640.06777087528</v>
      </c>
      <c r="AU19" s="104">
        <f t="shared" si="22"/>
        <v>-0.168604182092581</v>
      </c>
      <c r="AV19" s="104"/>
      <c r="AW19" s="103">
        <v>160.683924416387</v>
      </c>
      <c r="AX19" s="104"/>
      <c r="AY19" s="103">
        <v>144.886583223912</v>
      </c>
      <c r="AZ19" s="104"/>
      <c r="BA19" s="103">
        <v>146.007986968075</v>
      </c>
      <c r="BB19" s="104"/>
      <c r="BC19" s="103">
        <v>147.798734739431</v>
      </c>
      <c r="BD19" s="104"/>
      <c r="BE19" s="103">
        <v>148.32122677248</v>
      </c>
      <c r="BF19" s="104"/>
      <c r="BG19" s="103">
        <v>167.736713851822</v>
      </c>
      <c r="BH19" s="104"/>
      <c r="BI19" s="103">
        <v>193.642022235166</v>
      </c>
      <c r="BJ19" s="104"/>
      <c r="BK19" s="103">
        <v>201.050102954427</v>
      </c>
      <c r="BL19" s="104"/>
      <c r="BM19" s="103">
        <v>173.049732560957</v>
      </c>
      <c r="BN19" s="104"/>
      <c r="BO19" s="103">
        <v>152.895350266213</v>
      </c>
      <c r="BP19" s="104"/>
      <c r="BQ19" s="103">
        <v>150.683392442025</v>
      </c>
      <c r="BR19" s="104"/>
      <c r="BS19" s="103">
        <v>185.912043803782</v>
      </c>
      <c r="BT19" s="104"/>
      <c r="BU19" s="103">
        <f t="shared" si="23"/>
        <v>1972.66781423468</v>
      </c>
      <c r="BV19" s="104"/>
      <c r="BW19" s="162"/>
      <c r="BX19" s="165"/>
      <c r="BY19" s="165"/>
      <c r="BZ19" s="165"/>
      <c r="CA19" s="165"/>
      <c r="CB19" s="165"/>
      <c r="CC19" s="165"/>
      <c r="CD19" s="165"/>
      <c r="CE19" s="165"/>
      <c r="CF19" s="165"/>
      <c r="CG19" s="165"/>
      <c r="CH19" s="165"/>
      <c r="CI19" s="165"/>
      <c r="CJ19" s="146"/>
    </row>
    <row r="20" ht="28.8" customHeight="1" spans="1:88">
      <c r="A20" s="29"/>
      <c r="B20" s="141" t="s">
        <v>276</v>
      </c>
      <c r="C20" s="103">
        <v>809.78699491645</v>
      </c>
      <c r="D20" s="104">
        <f t="shared" si="0"/>
        <v>1.64304507595476</v>
      </c>
      <c r="E20" s="103">
        <v>1049.19039668565</v>
      </c>
      <c r="F20" s="104">
        <f t="shared" si="1"/>
        <v>2.7420155438813</v>
      </c>
      <c r="G20" s="103">
        <v>1411.29532084738</v>
      </c>
      <c r="H20" s="104">
        <f t="shared" si="2"/>
        <v>3.40205571247431</v>
      </c>
      <c r="I20" s="103">
        <v>1346.35126550084</v>
      </c>
      <c r="J20" s="104">
        <f t="shared" si="3"/>
        <v>2.79502518929605</v>
      </c>
      <c r="K20" s="103">
        <v>1528.52597916513</v>
      </c>
      <c r="L20" s="104">
        <f t="shared" si="4"/>
        <v>2.8259599669281</v>
      </c>
      <c r="M20" s="103">
        <v>1451.28204983874</v>
      </c>
      <c r="N20" s="104">
        <f t="shared" si="5"/>
        <v>2.39661839536837</v>
      </c>
      <c r="O20" s="103">
        <v>1619.57894974321</v>
      </c>
      <c r="P20" s="104">
        <f t="shared" si="6"/>
        <v>2.69030110801543</v>
      </c>
      <c r="Q20" s="127"/>
      <c r="R20" s="127"/>
      <c r="S20" s="103">
        <f t="shared" si="7"/>
        <v>9216.0109566974</v>
      </c>
      <c r="T20" s="104">
        <f t="shared" si="8"/>
        <v>1.98077453394256</v>
      </c>
      <c r="U20" s="103"/>
      <c r="V20" s="103">
        <v>306.384103049747</v>
      </c>
      <c r="W20" s="104">
        <f t="shared" si="9"/>
        <v>-0.304379990107318</v>
      </c>
      <c r="X20" s="103">
        <v>280.381089918565</v>
      </c>
      <c r="Y20" s="104">
        <f t="shared" si="10"/>
        <v>-0.362478546890532</v>
      </c>
      <c r="Z20" s="103">
        <v>320.599150267028</v>
      </c>
      <c r="AA20" s="104">
        <f t="shared" si="11"/>
        <v>-0.138083439000989</v>
      </c>
      <c r="AB20" s="103">
        <v>354.767412163232</v>
      </c>
      <c r="AC20" s="104">
        <f t="shared" si="12"/>
        <v>-0.0375126920044266</v>
      </c>
      <c r="AD20" s="103">
        <v>399.514368257334</v>
      </c>
      <c r="AE20" s="104">
        <f t="shared" si="13"/>
        <v>0.0866326026020894</v>
      </c>
      <c r="AF20" s="103">
        <v>427.27262262305</v>
      </c>
      <c r="AG20" s="104">
        <f t="shared" si="14"/>
        <v>-0.1153106229048</v>
      </c>
      <c r="AH20" s="103">
        <v>438.874471848772</v>
      </c>
      <c r="AI20" s="104">
        <f t="shared" si="15"/>
        <v>-0.232913348519278</v>
      </c>
      <c r="AJ20" s="103">
        <v>564.024311763643</v>
      </c>
      <c r="AK20" s="104">
        <f t="shared" si="16"/>
        <v>-0.125161321329375</v>
      </c>
      <c r="AL20" s="103">
        <v>605.04620289679</v>
      </c>
      <c r="AM20" s="104">
        <f t="shared" si="17"/>
        <v>0.163499606962759</v>
      </c>
      <c r="AN20" s="103">
        <v>676.046329971677</v>
      </c>
      <c r="AO20" s="104">
        <f t="shared" si="18"/>
        <v>0.425560774208857</v>
      </c>
      <c r="AP20" s="103">
        <v>565.492118243559</v>
      </c>
      <c r="AQ20" s="104">
        <f t="shared" si="19"/>
        <v>0.196531068755543</v>
      </c>
      <c r="AR20" s="103">
        <v>773.364529976663</v>
      </c>
      <c r="AS20" s="104">
        <f t="shared" si="20"/>
        <v>0.226897039415454</v>
      </c>
      <c r="AT20" s="103">
        <f t="shared" si="21"/>
        <v>5711.76671098006</v>
      </c>
      <c r="AU20" s="104">
        <f t="shared" si="22"/>
        <v>-0.0127416323907079</v>
      </c>
      <c r="AV20" s="104"/>
      <c r="AW20" s="103">
        <v>440.447512567982</v>
      </c>
      <c r="AX20" s="104"/>
      <c r="AY20" s="103">
        <v>439.798674305037</v>
      </c>
      <c r="AZ20" s="104"/>
      <c r="BA20" s="103">
        <v>371.960772972543</v>
      </c>
      <c r="BB20" s="104"/>
      <c r="BC20" s="103">
        <v>368.594379599719</v>
      </c>
      <c r="BD20" s="104"/>
      <c r="BE20" s="103">
        <v>367.662784367635</v>
      </c>
      <c r="BF20" s="104"/>
      <c r="BG20" s="103">
        <v>482.963437433783</v>
      </c>
      <c r="BH20" s="104"/>
      <c r="BI20" s="103">
        <v>572.131546027563</v>
      </c>
      <c r="BJ20" s="104"/>
      <c r="BK20" s="103">
        <v>644.718078332699</v>
      </c>
      <c r="BL20" s="104"/>
      <c r="BM20" s="103">
        <v>520.022696420349</v>
      </c>
      <c r="BN20" s="104"/>
      <c r="BO20" s="103">
        <v>474.231854721776</v>
      </c>
      <c r="BP20" s="104"/>
      <c r="BQ20" s="103">
        <v>472.609640493248</v>
      </c>
      <c r="BR20" s="104"/>
      <c r="BS20" s="103">
        <v>630.341834018221</v>
      </c>
      <c r="BT20" s="104"/>
      <c r="BU20" s="103">
        <f t="shared" si="23"/>
        <v>5785.48321126055</v>
      </c>
      <c r="BV20" s="104"/>
      <c r="BW20" s="162"/>
      <c r="BX20" s="165"/>
      <c r="BY20" s="165"/>
      <c r="BZ20" s="165"/>
      <c r="CA20" s="165"/>
      <c r="CB20" s="165"/>
      <c r="CC20" s="165"/>
      <c r="CD20" s="165"/>
      <c r="CE20" s="165"/>
      <c r="CF20" s="165"/>
      <c r="CG20" s="165"/>
      <c r="CH20" s="165"/>
      <c r="CI20" s="165"/>
      <c r="CJ20" s="146"/>
    </row>
    <row r="21" ht="28.8" customHeight="1" spans="1:88">
      <c r="A21" s="166" t="s">
        <v>96</v>
      </c>
      <c r="B21" s="141" t="s">
        <v>282</v>
      </c>
      <c r="C21" s="103">
        <v>241.770460666234</v>
      </c>
      <c r="D21" s="104">
        <f t="shared" si="0"/>
        <v>-0.169382017827353</v>
      </c>
      <c r="E21" s="103">
        <v>261.256620604107</v>
      </c>
      <c r="F21" s="104">
        <f t="shared" si="1"/>
        <v>0.214800247201759</v>
      </c>
      <c r="G21" s="103">
        <v>387.880663651651</v>
      </c>
      <c r="H21" s="104">
        <f t="shared" si="2"/>
        <v>0.52989217613128</v>
      </c>
      <c r="I21" s="103">
        <v>417.493702927287</v>
      </c>
      <c r="J21" s="104">
        <f t="shared" si="3"/>
        <v>0.322158085038733</v>
      </c>
      <c r="K21" s="103">
        <v>460.515289958847</v>
      </c>
      <c r="L21" s="104">
        <f t="shared" si="4"/>
        <v>0.442349041484886</v>
      </c>
      <c r="M21" s="103">
        <v>451.109329503215</v>
      </c>
      <c r="N21" s="104">
        <f t="shared" si="5"/>
        <v>0.548672032208975</v>
      </c>
      <c r="O21" s="103">
        <v>493.595531070801</v>
      </c>
      <c r="P21" s="104">
        <f t="shared" si="6"/>
        <v>0.647851817319329</v>
      </c>
      <c r="Q21" s="127"/>
      <c r="R21" s="127"/>
      <c r="S21" s="103">
        <f t="shared" si="7"/>
        <v>2713.62159838214</v>
      </c>
      <c r="T21" s="104">
        <f t="shared" si="8"/>
        <v>0.187629421302724</v>
      </c>
      <c r="U21" s="103"/>
      <c r="V21" s="103">
        <v>291.072991261079</v>
      </c>
      <c r="W21" s="104">
        <f t="shared" si="9"/>
        <v>0.288390162385857</v>
      </c>
      <c r="X21" s="103">
        <v>215.06138248317</v>
      </c>
      <c r="Y21" s="104">
        <f t="shared" si="10"/>
        <v>0.136331499199002</v>
      </c>
      <c r="Z21" s="103">
        <v>253.534641004901</v>
      </c>
      <c r="AA21" s="104">
        <f t="shared" si="11"/>
        <v>0.116013500019531</v>
      </c>
      <c r="AB21" s="103">
        <v>315.766856967831</v>
      </c>
      <c r="AC21" s="104">
        <f t="shared" si="12"/>
        <v>0.393877931925564</v>
      </c>
      <c r="AD21" s="103">
        <v>319.281447634028</v>
      </c>
      <c r="AE21" s="104">
        <f t="shared" si="13"/>
        <v>0.368403911980994</v>
      </c>
      <c r="AF21" s="103">
        <v>291.287838949198</v>
      </c>
      <c r="AG21" s="104">
        <f t="shared" si="14"/>
        <v>0.0328537723948918</v>
      </c>
      <c r="AH21" s="103">
        <v>299.538784909535</v>
      </c>
      <c r="AI21" s="104">
        <f t="shared" si="15"/>
        <v>-0.0436292612230648</v>
      </c>
      <c r="AJ21" s="103">
        <v>299.362063417763</v>
      </c>
      <c r="AK21" s="104">
        <f t="shared" si="16"/>
        <v>-0.0638659447547506</v>
      </c>
      <c r="AL21" s="103">
        <v>244.666927572429</v>
      </c>
      <c r="AM21" s="104">
        <f t="shared" si="17"/>
        <v>-0.18717677881993</v>
      </c>
      <c r="AN21" s="103">
        <v>270.262633794753</v>
      </c>
      <c r="AO21" s="104">
        <f t="shared" si="18"/>
        <v>-0.0841594093796403</v>
      </c>
      <c r="AP21" s="103">
        <v>236.239847277447</v>
      </c>
      <c r="AQ21" s="104">
        <f t="shared" si="19"/>
        <v>-0.16573126473935</v>
      </c>
      <c r="AR21" s="103">
        <v>238.466541925441</v>
      </c>
      <c r="AS21" s="104">
        <f t="shared" si="20"/>
        <v>-0.161393590584546</v>
      </c>
      <c r="AT21" s="103">
        <f t="shared" si="21"/>
        <v>3274.54195719758</v>
      </c>
      <c r="AU21" s="104">
        <f t="shared" si="22"/>
        <v>0.0294488383690028</v>
      </c>
      <c r="AV21" s="104"/>
      <c r="AW21" s="103">
        <v>225.919911342746</v>
      </c>
      <c r="AX21" s="104"/>
      <c r="AY21" s="103">
        <v>189.259368973549</v>
      </c>
      <c r="AZ21" s="104"/>
      <c r="BA21" s="103">
        <v>227.178829826399</v>
      </c>
      <c r="BB21" s="104"/>
      <c r="BC21" s="103">
        <v>226.538385991675</v>
      </c>
      <c r="BD21" s="104"/>
      <c r="BE21" s="103">
        <v>233.323980469929</v>
      </c>
      <c r="BF21" s="104"/>
      <c r="BG21" s="103">
        <v>282.022341143011</v>
      </c>
      <c r="BH21" s="104"/>
      <c r="BI21" s="103">
        <v>313.203627802962</v>
      </c>
      <c r="BJ21" s="104"/>
      <c r="BK21" s="103">
        <v>319.78546420826</v>
      </c>
      <c r="BL21" s="104"/>
      <c r="BM21" s="103">
        <v>301.00878173389</v>
      </c>
      <c r="BN21" s="104"/>
      <c r="BO21" s="103">
        <v>295.097898654706</v>
      </c>
      <c r="BP21" s="104"/>
      <c r="BQ21" s="103">
        <v>283.169963457445</v>
      </c>
      <c r="BR21" s="104"/>
      <c r="BS21" s="103">
        <v>284.360504818539</v>
      </c>
      <c r="BT21" s="104"/>
      <c r="BU21" s="103">
        <f t="shared" si="23"/>
        <v>3180.86905842311</v>
      </c>
      <c r="BV21" s="104"/>
      <c r="BW21" s="162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146"/>
    </row>
    <row r="22" ht="28.8" customHeight="1" spans="1:88">
      <c r="A22" s="45"/>
      <c r="B22" s="141" t="s">
        <v>283</v>
      </c>
      <c r="C22" s="103">
        <v>1091.31644050076</v>
      </c>
      <c r="D22" s="104">
        <f t="shared" si="0"/>
        <v>-0.166075990908135</v>
      </c>
      <c r="E22" s="103">
        <v>1207.12064236679</v>
      </c>
      <c r="F22" s="104">
        <f t="shared" si="1"/>
        <v>0.260552507089648</v>
      </c>
      <c r="G22" s="103">
        <v>1772.83101679495</v>
      </c>
      <c r="H22" s="104">
        <f t="shared" si="2"/>
        <v>0.563911174051582</v>
      </c>
      <c r="I22" s="103">
        <v>1924.60855177033</v>
      </c>
      <c r="J22" s="104">
        <f t="shared" si="3"/>
        <v>0.352681163922431</v>
      </c>
      <c r="K22" s="103">
        <v>2130.64436874944</v>
      </c>
      <c r="L22" s="104">
        <f t="shared" si="4"/>
        <v>0.485317779622912</v>
      </c>
      <c r="M22" s="103">
        <v>2072.4363854225</v>
      </c>
      <c r="N22" s="104">
        <f t="shared" si="5"/>
        <v>0.588246799120036</v>
      </c>
      <c r="O22" s="103">
        <v>2259.92583509297</v>
      </c>
      <c r="P22" s="104">
        <f t="shared" si="6"/>
        <v>0.678791595485457</v>
      </c>
      <c r="Q22" s="127"/>
      <c r="R22" s="127"/>
      <c r="S22" s="103">
        <f t="shared" si="7"/>
        <v>12458.8832406977</v>
      </c>
      <c r="T22" s="104">
        <f t="shared" si="8"/>
        <v>0.214202410520772</v>
      </c>
      <c r="U22" s="103"/>
      <c r="V22" s="103">
        <v>1308.65214168518</v>
      </c>
      <c r="W22" s="104">
        <f t="shared" si="9"/>
        <v>0.321793541208545</v>
      </c>
      <c r="X22" s="103">
        <v>957.612345045252</v>
      </c>
      <c r="Y22" s="104">
        <f t="shared" si="10"/>
        <v>0.136625026745115</v>
      </c>
      <c r="Z22" s="103">
        <v>1133.5880491231</v>
      </c>
      <c r="AA22" s="104">
        <f t="shared" si="11"/>
        <v>0.15099273158878</v>
      </c>
      <c r="AB22" s="103">
        <v>1422.81019585536</v>
      </c>
      <c r="AC22" s="104">
        <f t="shared" si="12"/>
        <v>0.426065281716366</v>
      </c>
      <c r="AD22" s="103">
        <v>1434.4703860546</v>
      </c>
      <c r="AE22" s="104">
        <f t="shared" si="13"/>
        <v>0.393893116228294</v>
      </c>
      <c r="AF22" s="103">
        <v>1304.85790153692</v>
      </c>
      <c r="AG22" s="104">
        <f t="shared" si="14"/>
        <v>0.0217694274528417</v>
      </c>
      <c r="AH22" s="103">
        <v>1346.1622283375</v>
      </c>
      <c r="AI22" s="104">
        <f t="shared" si="15"/>
        <v>-0.0611584400427592</v>
      </c>
      <c r="AJ22" s="103">
        <v>1352.80747253898</v>
      </c>
      <c r="AK22" s="104">
        <f t="shared" si="16"/>
        <v>-0.0955568432140088</v>
      </c>
      <c r="AL22" s="103">
        <v>1096.67591494995</v>
      </c>
      <c r="AM22" s="104">
        <f t="shared" si="17"/>
        <v>-0.206914136526587</v>
      </c>
      <c r="AN22" s="103">
        <v>1235.5574025046</v>
      </c>
      <c r="AO22" s="104">
        <f t="shared" si="18"/>
        <v>-0.0901503485661677</v>
      </c>
      <c r="AP22" s="103">
        <v>1078.76268554356</v>
      </c>
      <c r="AQ22" s="104">
        <f t="shared" si="19"/>
        <v>-0.178157753006821</v>
      </c>
      <c r="AR22" s="103">
        <v>1096.39326966252</v>
      </c>
      <c r="AS22" s="104">
        <f t="shared" si="20"/>
        <v>-0.177472899565541</v>
      </c>
      <c r="AT22" s="103">
        <f t="shared" si="21"/>
        <v>14768.3499928375</v>
      </c>
      <c r="AU22" s="104">
        <f t="shared" si="22"/>
        <v>0.0229327007651465</v>
      </c>
      <c r="AV22" s="104"/>
      <c r="AW22" s="103">
        <v>990.057903058484</v>
      </c>
      <c r="AX22" s="104"/>
      <c r="AY22" s="103">
        <v>842.505067645316</v>
      </c>
      <c r="AZ22" s="104"/>
      <c r="BA22" s="103">
        <v>984.878547024658</v>
      </c>
      <c r="BB22" s="104"/>
      <c r="BC22" s="103">
        <v>997.71743558816</v>
      </c>
      <c r="BD22" s="104"/>
      <c r="BE22" s="103">
        <v>1029.11074698188</v>
      </c>
      <c r="BF22" s="104"/>
      <c r="BG22" s="103">
        <v>1277.05709965289</v>
      </c>
      <c r="BH22" s="104"/>
      <c r="BI22" s="103">
        <v>1433.85453494284</v>
      </c>
      <c r="BJ22" s="104"/>
      <c r="BK22" s="103">
        <v>1495.7352072255</v>
      </c>
      <c r="BL22" s="104"/>
      <c r="BM22" s="103">
        <v>1382.79594361565</v>
      </c>
      <c r="BN22" s="104"/>
      <c r="BO22" s="103">
        <v>1357.9797503439</v>
      </c>
      <c r="BP22" s="104"/>
      <c r="BQ22" s="103">
        <v>1312.61527317482</v>
      </c>
      <c r="BR22" s="104"/>
      <c r="BS22" s="103">
        <v>1332.95701635047</v>
      </c>
      <c r="BT22" s="104"/>
      <c r="BU22" s="103">
        <f t="shared" si="23"/>
        <v>14437.2645256046</v>
      </c>
      <c r="BV22" s="104"/>
      <c r="BW22" s="162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165"/>
      <c r="CI22" s="165"/>
      <c r="CJ22" s="146"/>
    </row>
    <row r="23" ht="28.8" customHeight="1" spans="1:88">
      <c r="A23" s="45"/>
      <c r="B23" s="141" t="s">
        <v>284</v>
      </c>
      <c r="C23" s="103">
        <v>222.165969724582</v>
      </c>
      <c r="D23" s="104">
        <f t="shared" si="0"/>
        <v>-0.161128039753075</v>
      </c>
      <c r="E23" s="103">
        <v>242.353912055346</v>
      </c>
      <c r="F23" s="104">
        <f t="shared" si="1"/>
        <v>0.340042922389133</v>
      </c>
      <c r="G23" s="103">
        <v>354.302237862163</v>
      </c>
      <c r="H23" s="104">
        <f t="shared" si="2"/>
        <v>0.580936810211781</v>
      </c>
      <c r="I23" s="103">
        <v>379.872854844346</v>
      </c>
      <c r="J23" s="104">
        <f t="shared" si="3"/>
        <v>0.369712620871339</v>
      </c>
      <c r="K23" s="103">
        <v>418.150874329782</v>
      </c>
      <c r="L23" s="104">
        <f t="shared" si="4"/>
        <v>0.578159718493937</v>
      </c>
      <c r="M23" s="103">
        <v>407.145628565237</v>
      </c>
      <c r="N23" s="104">
        <f t="shared" si="5"/>
        <v>0.642380509167139</v>
      </c>
      <c r="O23" s="103">
        <v>444.684832602794</v>
      </c>
      <c r="P23" s="104">
        <f t="shared" si="6"/>
        <v>0.812361648791682</v>
      </c>
      <c r="Q23" s="127"/>
      <c r="R23" s="127"/>
      <c r="S23" s="103">
        <f t="shared" si="7"/>
        <v>2468.67630998425</v>
      </c>
      <c r="T23" s="104">
        <f t="shared" si="8"/>
        <v>0.263874312311225</v>
      </c>
      <c r="U23" s="103"/>
      <c r="V23" s="103">
        <v>264.838950701352</v>
      </c>
      <c r="W23" s="104">
        <f t="shared" si="9"/>
        <v>0.321498900000871</v>
      </c>
      <c r="X23" s="103">
        <v>180.855335307662</v>
      </c>
      <c r="Y23" s="104">
        <f t="shared" si="10"/>
        <v>0.0772332346674849</v>
      </c>
      <c r="Z23" s="103">
        <v>224.109044443529</v>
      </c>
      <c r="AA23" s="104">
        <f t="shared" si="11"/>
        <v>0.103200760308407</v>
      </c>
      <c r="AB23" s="103">
        <v>277.337632037508</v>
      </c>
      <c r="AC23" s="104">
        <f t="shared" si="12"/>
        <v>0.362751010257118</v>
      </c>
      <c r="AD23" s="103">
        <v>264.961061564054</v>
      </c>
      <c r="AE23" s="104">
        <f t="shared" si="13"/>
        <v>0.275033639207654</v>
      </c>
      <c r="AF23" s="103">
        <v>247.899695772512</v>
      </c>
      <c r="AG23" s="104">
        <f t="shared" si="14"/>
        <v>-0.0488723420304027</v>
      </c>
      <c r="AH23" s="103">
        <v>245.362084824113</v>
      </c>
      <c r="AI23" s="104">
        <f t="shared" si="15"/>
        <v>-0.149459599135341</v>
      </c>
      <c r="AJ23" s="103">
        <v>247.897121643297</v>
      </c>
      <c r="AK23" s="104">
        <f t="shared" si="16"/>
        <v>-0.1758980838945</v>
      </c>
      <c r="AL23" s="103">
        <v>201.84507914283</v>
      </c>
      <c r="AM23" s="104">
        <f t="shared" si="17"/>
        <v>-0.277511560758368</v>
      </c>
      <c r="AN23" s="103">
        <v>227.62225953965</v>
      </c>
      <c r="AO23" s="104">
        <f t="shared" si="18"/>
        <v>-0.169431921753526</v>
      </c>
      <c r="AP23" s="103">
        <v>204.204757657107</v>
      </c>
      <c r="AQ23" s="104">
        <f t="shared" si="19"/>
        <v>-0.227602512276845</v>
      </c>
      <c r="AR23" s="103">
        <v>206.636411105224</v>
      </c>
      <c r="AS23" s="104">
        <f t="shared" si="20"/>
        <v>-0.223430343930551</v>
      </c>
      <c r="AT23" s="103">
        <f t="shared" si="21"/>
        <v>2793.56943373884</v>
      </c>
      <c r="AU23" s="104">
        <f t="shared" si="22"/>
        <v>-0.042177327795999</v>
      </c>
      <c r="AV23" s="104"/>
      <c r="AW23" s="103">
        <v>200.407999356774</v>
      </c>
      <c r="AX23" s="104"/>
      <c r="AY23" s="103">
        <v>167.888744505258</v>
      </c>
      <c r="AZ23" s="104"/>
      <c r="BA23" s="103">
        <v>203.144389042007</v>
      </c>
      <c r="BB23" s="104"/>
      <c r="BC23" s="103">
        <v>203.513062877995</v>
      </c>
      <c r="BD23" s="104"/>
      <c r="BE23" s="103">
        <v>207.807114586176</v>
      </c>
      <c r="BF23" s="104"/>
      <c r="BG23" s="103">
        <v>260.637669081889</v>
      </c>
      <c r="BH23" s="104"/>
      <c r="BI23" s="103">
        <v>288.477871920814</v>
      </c>
      <c r="BJ23" s="104"/>
      <c r="BK23" s="103">
        <v>300.808815995474</v>
      </c>
      <c r="BL23" s="104"/>
      <c r="BM23" s="103">
        <v>279.374822045179</v>
      </c>
      <c r="BN23" s="104"/>
      <c r="BO23" s="103">
        <v>274.056113521982</v>
      </c>
      <c r="BP23" s="104"/>
      <c r="BQ23" s="103">
        <v>264.377811816885</v>
      </c>
      <c r="BR23" s="104"/>
      <c r="BS23" s="103">
        <v>266.088701110341</v>
      </c>
      <c r="BT23" s="104"/>
      <c r="BU23" s="103">
        <f t="shared" si="23"/>
        <v>2916.58311586077</v>
      </c>
      <c r="BV23" s="104"/>
      <c r="BW23" s="162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46"/>
    </row>
    <row r="24" ht="28.8" customHeight="1" spans="1:88">
      <c r="A24" s="29"/>
      <c r="B24" s="141" t="s">
        <v>276</v>
      </c>
      <c r="C24" s="103">
        <v>802.644038120904</v>
      </c>
      <c r="D24" s="104">
        <f t="shared" si="0"/>
        <v>-0.0858586636184262</v>
      </c>
      <c r="E24" s="103">
        <v>948.969387809086</v>
      </c>
      <c r="F24" s="104">
        <f t="shared" si="1"/>
        <v>0.653960192376915</v>
      </c>
      <c r="G24" s="103">
        <v>1298.60562701575</v>
      </c>
      <c r="H24" s="104">
        <f t="shared" si="2"/>
        <v>0.812179151589259</v>
      </c>
      <c r="I24" s="103">
        <v>1423.32178122398</v>
      </c>
      <c r="J24" s="104">
        <f t="shared" si="3"/>
        <v>0.55406409848459</v>
      </c>
      <c r="K24" s="103">
        <v>1585.102501693</v>
      </c>
      <c r="L24" s="104">
        <f t="shared" si="4"/>
        <v>0.826776222399714</v>
      </c>
      <c r="M24" s="103">
        <v>1504.34349825151</v>
      </c>
      <c r="N24" s="104">
        <f t="shared" si="5"/>
        <v>0.810634574907391</v>
      </c>
      <c r="O24" s="103">
        <v>1631.95576972183</v>
      </c>
      <c r="P24" s="104">
        <f t="shared" si="6"/>
        <v>1.00700104552972</v>
      </c>
      <c r="Q24" s="127"/>
      <c r="R24" s="127"/>
      <c r="S24" s="103">
        <f t="shared" si="7"/>
        <v>9194.94260383606</v>
      </c>
      <c r="T24" s="104">
        <f t="shared" si="8"/>
        <v>0.425811208753967</v>
      </c>
      <c r="U24" s="103"/>
      <c r="V24" s="103">
        <v>878.030569428129</v>
      </c>
      <c r="W24" s="104">
        <f t="shared" si="9"/>
        <v>0.431858396466605</v>
      </c>
      <c r="X24" s="103">
        <v>573.755881298036</v>
      </c>
      <c r="Y24" s="104">
        <f t="shared" si="10"/>
        <v>-0.0125373397442073</v>
      </c>
      <c r="Z24" s="103">
        <v>716.598922284747</v>
      </c>
      <c r="AA24" s="104">
        <f t="shared" si="11"/>
        <v>0.174096958277453</v>
      </c>
      <c r="AB24" s="103">
        <v>915.870704826075</v>
      </c>
      <c r="AC24" s="104">
        <f t="shared" si="12"/>
        <v>0.492495925635566</v>
      </c>
      <c r="AD24" s="103">
        <v>867.704802732081</v>
      </c>
      <c r="AE24" s="104">
        <f t="shared" si="13"/>
        <v>0.382675318617028</v>
      </c>
      <c r="AF24" s="103">
        <v>830.837717946733</v>
      </c>
      <c r="AG24" s="104">
        <f t="shared" si="14"/>
        <v>-0.102775215795952</v>
      </c>
      <c r="AH24" s="103">
        <v>813.131499535966</v>
      </c>
      <c r="AI24" s="104">
        <f t="shared" si="15"/>
        <v>-0.218905989400119</v>
      </c>
      <c r="AJ24" s="103">
        <v>852.990030631766</v>
      </c>
      <c r="AK24" s="104">
        <f t="shared" si="16"/>
        <v>-0.274156768975826</v>
      </c>
      <c r="AL24" s="103">
        <v>680.719483523645</v>
      </c>
      <c r="AM24" s="104">
        <f t="shared" si="17"/>
        <v>-0.339511788114505</v>
      </c>
      <c r="AN24" s="103">
        <v>842.570103599964</v>
      </c>
      <c r="AO24" s="104">
        <f t="shared" si="18"/>
        <v>-0.163658028911298</v>
      </c>
      <c r="AP24" s="103">
        <v>761.764945297968</v>
      </c>
      <c r="AQ24" s="104">
        <f t="shared" si="19"/>
        <v>-0.236356866514361</v>
      </c>
      <c r="AR24" s="103">
        <v>787.851822377908</v>
      </c>
      <c r="AS24" s="104">
        <f t="shared" si="20"/>
        <v>-0.259538169210061</v>
      </c>
      <c r="AT24" s="103">
        <f t="shared" si="21"/>
        <v>9521.82648348302</v>
      </c>
      <c r="AU24" s="104">
        <f t="shared" si="22"/>
        <v>-0.0744375859281435</v>
      </c>
      <c r="AV24" s="104"/>
      <c r="AW24" s="103">
        <v>613.210476395462</v>
      </c>
      <c r="AX24" s="104"/>
      <c r="AY24" s="103">
        <v>581.040584511226</v>
      </c>
      <c r="AZ24" s="104"/>
      <c r="BA24" s="103">
        <v>610.34049805911</v>
      </c>
      <c r="BB24" s="104"/>
      <c r="BC24" s="103">
        <v>613.65038865085</v>
      </c>
      <c r="BD24" s="104"/>
      <c r="BE24" s="103">
        <v>627.554995051168</v>
      </c>
      <c r="BF24" s="104"/>
      <c r="BG24" s="103">
        <v>926.008434646387</v>
      </c>
      <c r="BH24" s="104"/>
      <c r="BI24" s="103">
        <v>1041.01617539159</v>
      </c>
      <c r="BJ24" s="104"/>
      <c r="BK24" s="103">
        <v>1175.17115841693</v>
      </c>
      <c r="BL24" s="104"/>
      <c r="BM24" s="103">
        <v>1030.6307838264</v>
      </c>
      <c r="BN24" s="104"/>
      <c r="BO24" s="103">
        <v>1007.4468730813</v>
      </c>
      <c r="BP24" s="104"/>
      <c r="BQ24" s="103">
        <v>997.540489653724</v>
      </c>
      <c r="BR24" s="104"/>
      <c r="BS24" s="103">
        <v>1064.00058668441</v>
      </c>
      <c r="BT24" s="104"/>
      <c r="BU24" s="103">
        <f t="shared" si="23"/>
        <v>10287.6114443686</v>
      </c>
      <c r="BV24" s="104"/>
      <c r="BW24" s="162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46"/>
    </row>
    <row r="25" ht="28.8" customHeight="1" spans="1:88">
      <c r="A25" s="166" t="s">
        <v>97</v>
      </c>
      <c r="B25" s="141" t="s">
        <v>282</v>
      </c>
      <c r="C25" s="103">
        <v>368.423139388213</v>
      </c>
      <c r="D25" s="104">
        <f t="shared" si="0"/>
        <v>0.327566513001552</v>
      </c>
      <c r="E25" s="103">
        <v>347.211771344808</v>
      </c>
      <c r="F25" s="104">
        <f t="shared" si="1"/>
        <v>0.457654697108584</v>
      </c>
      <c r="G25" s="103">
        <v>368.57097547369</v>
      </c>
      <c r="H25" s="104">
        <f t="shared" si="2"/>
        <v>0.548966636952032</v>
      </c>
      <c r="I25" s="103">
        <v>353.874190148651</v>
      </c>
      <c r="J25" s="104">
        <f t="shared" si="3"/>
        <v>0.339789710752146</v>
      </c>
      <c r="K25" s="103">
        <v>386.14666510809</v>
      </c>
      <c r="L25" s="104">
        <f t="shared" si="4"/>
        <v>0.324165149813848</v>
      </c>
      <c r="M25" s="103">
        <v>359.858598618703</v>
      </c>
      <c r="N25" s="104">
        <f t="shared" si="5"/>
        <v>0.315208793610928</v>
      </c>
      <c r="O25" s="103">
        <v>390.160238777367</v>
      </c>
      <c r="P25" s="104">
        <f t="shared" si="6"/>
        <v>0.322895374705674</v>
      </c>
      <c r="Q25" s="127"/>
      <c r="R25" s="127"/>
      <c r="S25" s="103">
        <f t="shared" si="7"/>
        <v>2574.24557885952</v>
      </c>
      <c r="T25" s="104">
        <f t="shared" si="8"/>
        <v>0.179908172792839</v>
      </c>
      <c r="U25" s="103"/>
      <c r="V25" s="103">
        <v>277.517650362564</v>
      </c>
      <c r="W25" s="104">
        <f t="shared" si="9"/>
        <v>0.50914431114079</v>
      </c>
      <c r="X25" s="103">
        <v>238.198917777674</v>
      </c>
      <c r="Y25" s="104">
        <f t="shared" si="10"/>
        <v>0.521015877151705</v>
      </c>
      <c r="Z25" s="103">
        <v>237.946361581385</v>
      </c>
      <c r="AA25" s="104">
        <f t="shared" si="11"/>
        <v>0.45072505599932</v>
      </c>
      <c r="AB25" s="103">
        <v>264.126666527383</v>
      </c>
      <c r="AC25" s="104">
        <f t="shared" si="12"/>
        <v>0.556931183876014</v>
      </c>
      <c r="AD25" s="103">
        <v>291.615184980797</v>
      </c>
      <c r="AE25" s="104">
        <f t="shared" si="13"/>
        <v>0.768501767228555</v>
      </c>
      <c r="AF25" s="103">
        <v>273.613285104873</v>
      </c>
      <c r="AG25" s="104">
        <f t="shared" si="14"/>
        <v>0.414049611932958</v>
      </c>
      <c r="AH25" s="103">
        <v>294.929021778591</v>
      </c>
      <c r="AI25" s="104">
        <f t="shared" si="15"/>
        <v>0.445258385637306</v>
      </c>
      <c r="AJ25" s="103">
        <v>303.786743568134</v>
      </c>
      <c r="AK25" s="104">
        <f t="shared" si="16"/>
        <v>0.365596900809605</v>
      </c>
      <c r="AL25" s="103">
        <v>297.063409010195</v>
      </c>
      <c r="AM25" s="104">
        <f t="shared" si="17"/>
        <v>0.49137213291093</v>
      </c>
      <c r="AN25" s="103">
        <v>365.258418402989</v>
      </c>
      <c r="AO25" s="104">
        <f t="shared" si="18"/>
        <v>0.694450824773638</v>
      </c>
      <c r="AP25" s="103">
        <v>322.433218693488</v>
      </c>
      <c r="AQ25" s="104">
        <f t="shared" si="19"/>
        <v>0.542430398506024</v>
      </c>
      <c r="AR25" s="103">
        <v>342.688183988201</v>
      </c>
      <c r="AS25" s="104">
        <f t="shared" si="20"/>
        <v>0.517638811479271</v>
      </c>
      <c r="AT25" s="103">
        <f t="shared" si="21"/>
        <v>3509.17706177627</v>
      </c>
      <c r="AU25" s="104">
        <f t="shared" si="22"/>
        <v>0.51999958150543</v>
      </c>
      <c r="AV25" s="104"/>
      <c r="AW25" s="103">
        <v>183.89073086906</v>
      </c>
      <c r="AX25" s="104"/>
      <c r="AY25" s="103">
        <v>156.605148806028</v>
      </c>
      <c r="AZ25" s="104"/>
      <c r="BA25" s="103">
        <v>164.018923225585</v>
      </c>
      <c r="BB25" s="104"/>
      <c r="BC25" s="103">
        <v>169.645690999543</v>
      </c>
      <c r="BD25" s="104"/>
      <c r="BE25" s="103">
        <v>164.893917769611</v>
      </c>
      <c r="BF25" s="104"/>
      <c r="BG25" s="103">
        <v>193.496241430209</v>
      </c>
      <c r="BH25" s="104"/>
      <c r="BI25" s="103">
        <v>204.06663937019</v>
      </c>
      <c r="BJ25" s="104"/>
      <c r="BK25" s="103">
        <v>222.457112628208</v>
      </c>
      <c r="BL25" s="104"/>
      <c r="BM25" s="103">
        <v>199.187984309706</v>
      </c>
      <c r="BN25" s="104"/>
      <c r="BO25" s="103">
        <v>215.56153360295</v>
      </c>
      <c r="BP25" s="104"/>
      <c r="BQ25" s="103">
        <v>209.042313355463</v>
      </c>
      <c r="BR25" s="104"/>
      <c r="BS25" s="103">
        <v>225.803518858467</v>
      </c>
      <c r="BT25" s="104"/>
      <c r="BU25" s="103">
        <f t="shared" si="23"/>
        <v>2308.66975522502</v>
      </c>
      <c r="BV25" s="104"/>
      <c r="BW25" s="162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146"/>
    </row>
    <row r="26" ht="28.8" customHeight="1" spans="1:88">
      <c r="A26" s="45"/>
      <c r="B26" s="141" t="s">
        <v>283</v>
      </c>
      <c r="C26" s="103">
        <v>1922.43733800319</v>
      </c>
      <c r="D26" s="104">
        <f t="shared" si="0"/>
        <v>0.330548508158685</v>
      </c>
      <c r="E26" s="103">
        <v>1864.16324211771</v>
      </c>
      <c r="F26" s="104">
        <f t="shared" si="1"/>
        <v>0.517778141454173</v>
      </c>
      <c r="G26" s="103">
        <v>1950.73781488852</v>
      </c>
      <c r="H26" s="104">
        <f t="shared" si="2"/>
        <v>0.58340977851665</v>
      </c>
      <c r="I26" s="103">
        <v>1889.07817127191</v>
      </c>
      <c r="J26" s="104">
        <f t="shared" si="3"/>
        <v>0.37071982984427</v>
      </c>
      <c r="K26" s="103">
        <v>2068.84407676854</v>
      </c>
      <c r="L26" s="104">
        <f t="shared" si="4"/>
        <v>0.363613094754608</v>
      </c>
      <c r="M26" s="103">
        <v>1917.7379968594</v>
      </c>
      <c r="N26" s="104">
        <f t="shared" si="5"/>
        <v>0.351147204797715</v>
      </c>
      <c r="O26" s="103">
        <v>2065.01785168978</v>
      </c>
      <c r="P26" s="104">
        <f t="shared" si="6"/>
        <v>0.345406135135996</v>
      </c>
      <c r="Q26" s="127"/>
      <c r="R26" s="127"/>
      <c r="S26" s="103">
        <f t="shared" si="7"/>
        <v>13678.016491599</v>
      </c>
      <c r="T26" s="104">
        <f t="shared" si="8"/>
        <v>0.205716614393592</v>
      </c>
      <c r="U26" s="103"/>
      <c r="V26" s="103">
        <v>1444.84573558585</v>
      </c>
      <c r="W26" s="104">
        <f t="shared" si="9"/>
        <v>0.54827106062619</v>
      </c>
      <c r="X26" s="103">
        <v>1228.21853286915</v>
      </c>
      <c r="Y26" s="104">
        <f t="shared" si="10"/>
        <v>0.521408773114133</v>
      </c>
      <c r="Z26" s="103">
        <v>1231.98545402188</v>
      </c>
      <c r="AA26" s="104">
        <f t="shared" si="11"/>
        <v>0.496195157997385</v>
      </c>
      <c r="AB26" s="103">
        <v>1378.16505615632</v>
      </c>
      <c r="AC26" s="104">
        <f t="shared" si="12"/>
        <v>0.592883750071246</v>
      </c>
      <c r="AD26" s="103">
        <v>1517.1782118599</v>
      </c>
      <c r="AE26" s="104">
        <f t="shared" si="13"/>
        <v>0.80144357802135</v>
      </c>
      <c r="AF26" s="103">
        <v>1419.3405352502</v>
      </c>
      <c r="AG26" s="104">
        <f t="shared" si="14"/>
        <v>0.398874362461303</v>
      </c>
      <c r="AH26" s="103">
        <v>1534.8657909019</v>
      </c>
      <c r="AI26" s="104">
        <f t="shared" si="15"/>
        <v>0.4187684569357</v>
      </c>
      <c r="AJ26" s="103">
        <v>1589.70524739062</v>
      </c>
      <c r="AK26" s="104">
        <f t="shared" si="16"/>
        <v>0.319367418528351</v>
      </c>
      <c r="AL26" s="103">
        <v>1560.55762351361</v>
      </c>
      <c r="AM26" s="104">
        <f t="shared" si="17"/>
        <v>0.472750512671707</v>
      </c>
      <c r="AN26" s="103">
        <v>1953.72313045085</v>
      </c>
      <c r="AO26" s="104">
        <f t="shared" si="18"/>
        <v>0.700810847800553</v>
      </c>
      <c r="AP26" s="103">
        <v>1731.48950273974</v>
      </c>
      <c r="AQ26" s="104">
        <f t="shared" si="19"/>
        <v>0.543074279054453</v>
      </c>
      <c r="AR26" s="103">
        <v>1859.17403033131</v>
      </c>
      <c r="AS26" s="104">
        <f t="shared" si="20"/>
        <v>0.516819526831102</v>
      </c>
      <c r="AT26" s="103">
        <f t="shared" si="21"/>
        <v>18449.2488510713</v>
      </c>
      <c r="AU26" s="104">
        <f t="shared" si="22"/>
        <v>0.521111338863581</v>
      </c>
      <c r="AV26" s="104"/>
      <c r="AW26" s="103">
        <v>933.199471545693</v>
      </c>
      <c r="AX26" s="104"/>
      <c r="AY26" s="103">
        <v>807.290292112054</v>
      </c>
      <c r="AZ26" s="104"/>
      <c r="BA26" s="103">
        <v>823.412271745925</v>
      </c>
      <c r="BB26" s="104"/>
      <c r="BC26" s="103">
        <v>865.201277930469</v>
      </c>
      <c r="BD26" s="104"/>
      <c r="BE26" s="103">
        <v>842.201349168161</v>
      </c>
      <c r="BF26" s="104"/>
      <c r="BG26" s="103">
        <v>1014.63045812984</v>
      </c>
      <c r="BH26" s="104"/>
      <c r="BI26" s="103">
        <v>1081.82965543014</v>
      </c>
      <c r="BJ26" s="104"/>
      <c r="BK26" s="103">
        <v>1204.89957919668</v>
      </c>
      <c r="BL26" s="104"/>
      <c r="BM26" s="103">
        <v>1059.6211714655</v>
      </c>
      <c r="BN26" s="104"/>
      <c r="BO26" s="103">
        <v>1148.70100515725</v>
      </c>
      <c r="BP26" s="104"/>
      <c r="BQ26" s="103">
        <v>1122.10379386321</v>
      </c>
      <c r="BR26" s="104"/>
      <c r="BS26" s="103">
        <v>1225.70549590395</v>
      </c>
      <c r="BT26" s="104"/>
      <c r="BU26" s="103">
        <f t="shared" si="23"/>
        <v>12128.7958216489</v>
      </c>
      <c r="BV26" s="104"/>
      <c r="BW26" s="162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165"/>
      <c r="CI26" s="165"/>
      <c r="CJ26" s="146"/>
    </row>
    <row r="27" ht="28.8" customHeight="1" spans="1:88">
      <c r="A27" s="45"/>
      <c r="B27" s="141" t="s">
        <v>284</v>
      </c>
      <c r="C27" s="103">
        <v>303.840257284111</v>
      </c>
      <c r="D27" s="104">
        <f t="shared" si="0"/>
        <v>0.289905510482323</v>
      </c>
      <c r="E27" s="103">
        <v>290.620366484255</v>
      </c>
      <c r="F27" s="104">
        <f t="shared" si="1"/>
        <v>0.483115602623101</v>
      </c>
      <c r="G27" s="103">
        <v>305.539990958175</v>
      </c>
      <c r="H27" s="104">
        <f t="shared" si="2"/>
        <v>0.55722030439313</v>
      </c>
      <c r="I27" s="103">
        <v>295.847926834483</v>
      </c>
      <c r="J27" s="104">
        <f t="shared" si="3"/>
        <v>0.367090179215608</v>
      </c>
      <c r="K27" s="103">
        <v>323.891951501528</v>
      </c>
      <c r="L27" s="104">
        <f t="shared" si="4"/>
        <v>0.370179099107099</v>
      </c>
      <c r="M27" s="103">
        <v>297.300221354638</v>
      </c>
      <c r="N27" s="104">
        <f t="shared" si="5"/>
        <v>0.333259046321438</v>
      </c>
      <c r="O27" s="103">
        <v>321.410728329294</v>
      </c>
      <c r="P27" s="104">
        <f t="shared" si="6"/>
        <v>0.365218804044906</v>
      </c>
      <c r="Q27" s="127"/>
      <c r="R27" s="127"/>
      <c r="S27" s="103">
        <f t="shared" si="7"/>
        <v>2138.45144274648</v>
      </c>
      <c r="T27" s="104">
        <f t="shared" si="8"/>
        <v>0.199725423637758</v>
      </c>
      <c r="U27" s="103"/>
      <c r="V27" s="103">
        <v>235.552336830082</v>
      </c>
      <c r="W27" s="104">
        <f t="shared" si="9"/>
        <v>0.492648017516648</v>
      </c>
      <c r="X27" s="103">
        <v>195.952605427555</v>
      </c>
      <c r="Y27" s="104">
        <f t="shared" si="10"/>
        <v>0.469218707710462</v>
      </c>
      <c r="Z27" s="103">
        <v>196.2085840367</v>
      </c>
      <c r="AA27" s="104">
        <f t="shared" si="11"/>
        <v>0.405381510116162</v>
      </c>
      <c r="AB27" s="103">
        <v>216.407031030119</v>
      </c>
      <c r="AC27" s="104">
        <f t="shared" si="12"/>
        <v>0.510105537872414</v>
      </c>
      <c r="AD27" s="103">
        <v>236.386580201521</v>
      </c>
      <c r="AE27" s="104">
        <f t="shared" si="13"/>
        <v>0.709062442473935</v>
      </c>
      <c r="AF27" s="103">
        <v>222.987589827282</v>
      </c>
      <c r="AG27" s="104">
        <f t="shared" si="14"/>
        <v>0.362002196029528</v>
      </c>
      <c r="AH27" s="103">
        <v>235.427996872743</v>
      </c>
      <c r="AI27" s="104">
        <f t="shared" si="15"/>
        <v>0.371600592731574</v>
      </c>
      <c r="AJ27" s="103">
        <v>243.527993757751</v>
      </c>
      <c r="AK27" s="104">
        <f t="shared" si="16"/>
        <v>0.279917394872938</v>
      </c>
      <c r="AL27" s="103">
        <v>236.261326712949</v>
      </c>
      <c r="AM27" s="104">
        <f t="shared" si="17"/>
        <v>0.403364130868297</v>
      </c>
      <c r="AN27" s="103">
        <v>299.686516788189</v>
      </c>
      <c r="AO27" s="104">
        <f t="shared" si="18"/>
        <v>0.648366958069529</v>
      </c>
      <c r="AP27" s="103">
        <v>264.739779635529</v>
      </c>
      <c r="AQ27" s="104">
        <f t="shared" si="19"/>
        <v>0.492165682207438</v>
      </c>
      <c r="AR27" s="103">
        <v>282.118371807815</v>
      </c>
      <c r="AS27" s="104">
        <f t="shared" si="20"/>
        <v>0.461694663325976</v>
      </c>
      <c r="AT27" s="103">
        <f t="shared" si="21"/>
        <v>2865.25671292823</v>
      </c>
      <c r="AU27" s="104">
        <f t="shared" si="22"/>
        <v>0.462884405482064</v>
      </c>
      <c r="AV27" s="104"/>
      <c r="AW27" s="103">
        <v>157.808360756058</v>
      </c>
      <c r="AX27" s="104"/>
      <c r="AY27" s="103">
        <v>133.371978180781</v>
      </c>
      <c r="AZ27" s="104"/>
      <c r="BA27" s="103">
        <v>139.612327773177</v>
      </c>
      <c r="BB27" s="104"/>
      <c r="BC27" s="103">
        <v>143.305898563232</v>
      </c>
      <c r="BD27" s="104"/>
      <c r="BE27" s="103">
        <v>138.313600677657</v>
      </c>
      <c r="BF27" s="104"/>
      <c r="BG27" s="103">
        <v>163.720433401157</v>
      </c>
      <c r="BH27" s="104"/>
      <c r="BI27" s="103">
        <v>171.6447179451</v>
      </c>
      <c r="BJ27" s="104"/>
      <c r="BK27" s="103">
        <v>190.268524151066</v>
      </c>
      <c r="BL27" s="104"/>
      <c r="BM27" s="103">
        <v>168.353545253268</v>
      </c>
      <c r="BN27" s="104"/>
      <c r="BO27" s="103">
        <v>181.808131569905</v>
      </c>
      <c r="BP27" s="104"/>
      <c r="BQ27" s="103">
        <v>177.419828637183</v>
      </c>
      <c r="BR27" s="104"/>
      <c r="BS27" s="103">
        <v>193.007731974526</v>
      </c>
      <c r="BT27" s="104"/>
      <c r="BU27" s="103">
        <f t="shared" si="23"/>
        <v>1958.63507888311</v>
      </c>
      <c r="BV27" s="104"/>
      <c r="BW27" s="162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46"/>
    </row>
    <row r="28" ht="28.8" customHeight="1" spans="1:88">
      <c r="A28" s="29"/>
      <c r="B28" s="141" t="s">
        <v>276</v>
      </c>
      <c r="C28" s="103">
        <v>1164.03840090854</v>
      </c>
      <c r="D28" s="104">
        <f t="shared" si="0"/>
        <v>0.39468453373444</v>
      </c>
      <c r="E28" s="103">
        <v>1216.19816105852</v>
      </c>
      <c r="F28" s="104">
        <f t="shared" si="1"/>
        <v>0.83054895216212</v>
      </c>
      <c r="G28" s="103">
        <v>1239.17144466427</v>
      </c>
      <c r="H28" s="104">
        <f t="shared" si="2"/>
        <v>0.848078858363451</v>
      </c>
      <c r="I28" s="103">
        <v>1226.57276064865</v>
      </c>
      <c r="J28" s="104">
        <f t="shared" si="3"/>
        <v>0.605907241731336</v>
      </c>
      <c r="K28" s="103">
        <v>1363.91582027806</v>
      </c>
      <c r="L28" s="104">
        <f t="shared" si="4"/>
        <v>0.648536909792959</v>
      </c>
      <c r="M28" s="103">
        <v>1217.88088488899</v>
      </c>
      <c r="N28" s="104">
        <f t="shared" si="5"/>
        <v>0.52478209137508</v>
      </c>
      <c r="O28" s="103">
        <v>1305.19796187168</v>
      </c>
      <c r="P28" s="104">
        <f t="shared" si="6"/>
        <v>0.565268406780249</v>
      </c>
      <c r="Q28" s="127"/>
      <c r="R28" s="127"/>
      <c r="S28" s="103">
        <f t="shared" si="7"/>
        <v>8732.97543431871</v>
      </c>
      <c r="T28" s="104">
        <f t="shared" si="8"/>
        <v>0.388653003645588</v>
      </c>
      <c r="U28" s="103"/>
      <c r="V28" s="103">
        <v>834.624872329862</v>
      </c>
      <c r="W28" s="104">
        <f t="shared" si="9"/>
        <v>0.617300322269694</v>
      </c>
      <c r="X28" s="103">
        <v>664.389859458295</v>
      </c>
      <c r="Y28" s="104">
        <f t="shared" si="10"/>
        <v>0.34678226304556</v>
      </c>
      <c r="Z28" s="103">
        <v>670.518705982929</v>
      </c>
      <c r="AA28" s="104">
        <f t="shared" si="11"/>
        <v>0.495697080362311</v>
      </c>
      <c r="AB28" s="103">
        <v>763.788050003608</v>
      </c>
      <c r="AC28" s="104">
        <f t="shared" si="12"/>
        <v>0.653879795788251</v>
      </c>
      <c r="AD28" s="103">
        <v>827.349276910855</v>
      </c>
      <c r="AE28" s="104">
        <f t="shared" si="13"/>
        <v>0.85334597026987</v>
      </c>
      <c r="AF28" s="103">
        <v>798.72454679126</v>
      </c>
      <c r="AG28" s="104">
        <f t="shared" si="14"/>
        <v>0.284813995449072</v>
      </c>
      <c r="AH28" s="103">
        <v>833.849297806034</v>
      </c>
      <c r="AI28" s="104">
        <f t="shared" si="15"/>
        <v>0.259609780827266</v>
      </c>
      <c r="AJ28" s="103">
        <v>895.565778475869</v>
      </c>
      <c r="AK28" s="104">
        <f t="shared" si="16"/>
        <v>0.127311269616916</v>
      </c>
      <c r="AL28" s="103">
        <v>859.866790034483</v>
      </c>
      <c r="AM28" s="104">
        <f t="shared" si="17"/>
        <v>0.295438903816252</v>
      </c>
      <c r="AN28" s="103">
        <v>1197.14578702634</v>
      </c>
      <c r="AO28" s="104">
        <f t="shared" si="18"/>
        <v>0.676003616701939</v>
      </c>
      <c r="AP28" s="103">
        <v>1071.94083690411</v>
      </c>
      <c r="AQ28" s="104">
        <f t="shared" si="19"/>
        <v>0.49825937634977</v>
      </c>
      <c r="AR28" s="103">
        <v>1169.76420554728</v>
      </c>
      <c r="AS28" s="104">
        <f t="shared" si="20"/>
        <v>0.418182294134956</v>
      </c>
      <c r="AT28" s="103">
        <f t="shared" si="21"/>
        <v>10587.5280072709</v>
      </c>
      <c r="AU28" s="104">
        <f t="shared" si="22"/>
        <v>0.438068831351363</v>
      </c>
      <c r="AV28" s="104"/>
      <c r="AW28" s="103">
        <v>516.06053670883</v>
      </c>
      <c r="AX28" s="104"/>
      <c r="AY28" s="103">
        <v>493.31646078845</v>
      </c>
      <c r="AZ28" s="104"/>
      <c r="BA28" s="103">
        <v>448.298465502457</v>
      </c>
      <c r="BB28" s="104"/>
      <c r="BC28" s="103">
        <v>461.815938467028</v>
      </c>
      <c r="BD28" s="104"/>
      <c r="BE28" s="103">
        <v>446.408436515705</v>
      </c>
      <c r="BF28" s="104"/>
      <c r="BG28" s="103">
        <v>621.665509264699</v>
      </c>
      <c r="BH28" s="104"/>
      <c r="BI28" s="103">
        <v>661.990173860346</v>
      </c>
      <c r="BJ28" s="104"/>
      <c r="BK28" s="103">
        <v>794.426351100172</v>
      </c>
      <c r="BL28" s="104"/>
      <c r="BM28" s="103">
        <v>663.76483483813</v>
      </c>
      <c r="BN28" s="104"/>
      <c r="BO28" s="103">
        <v>714.285921042401</v>
      </c>
      <c r="BP28" s="104"/>
      <c r="BQ28" s="103">
        <v>715.457452711355</v>
      </c>
      <c r="BR28" s="104"/>
      <c r="BS28" s="103">
        <v>824.833457860082</v>
      </c>
      <c r="BT28" s="104"/>
      <c r="BU28" s="103">
        <f t="shared" si="23"/>
        <v>7362.32353865966</v>
      </c>
      <c r="BV28" s="104"/>
      <c r="BW28" s="162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46"/>
    </row>
    <row r="29" ht="28.8" customHeight="1" spans="1:88">
      <c r="A29" s="166" t="s">
        <v>98</v>
      </c>
      <c r="B29" s="141" t="s">
        <v>282</v>
      </c>
      <c r="C29" s="103">
        <v>54.3331943025326</v>
      </c>
      <c r="D29" s="104">
        <f t="shared" si="0"/>
        <v>1.80072203279568</v>
      </c>
      <c r="E29" s="103">
        <v>48.4096593007576</v>
      </c>
      <c r="F29" s="104">
        <f t="shared" si="1"/>
        <v>0.485369552162452</v>
      </c>
      <c r="G29" s="103">
        <v>52.5189966116588</v>
      </c>
      <c r="H29" s="104">
        <f t="shared" si="2"/>
        <v>0.53124966686442</v>
      </c>
      <c r="I29" s="103">
        <v>50.7769760794731</v>
      </c>
      <c r="J29" s="104">
        <f t="shared" si="3"/>
        <v>0.426355499604874</v>
      </c>
      <c r="K29" s="103">
        <v>53.4904888220196</v>
      </c>
      <c r="L29" s="104">
        <f t="shared" si="4"/>
        <v>0.314480616283163</v>
      </c>
      <c r="M29" s="103">
        <v>51.670619071158</v>
      </c>
      <c r="N29" s="104">
        <f t="shared" si="5"/>
        <v>0.12302044378605</v>
      </c>
      <c r="O29" s="103">
        <v>52.4465326334574</v>
      </c>
      <c r="P29" s="104">
        <f t="shared" si="6"/>
        <v>0.175352472297859</v>
      </c>
      <c r="Q29" s="127"/>
      <c r="R29" s="127"/>
      <c r="S29" s="103">
        <f t="shared" si="7"/>
        <v>363.646466821057</v>
      </c>
      <c r="T29" s="104">
        <f t="shared" si="8"/>
        <v>0.216487464269942</v>
      </c>
      <c r="U29" s="103"/>
      <c r="V29" s="103">
        <v>19.3997096699729</v>
      </c>
      <c r="W29" s="104">
        <f t="shared" si="9"/>
        <v>-0.365230229494022</v>
      </c>
      <c r="X29" s="103">
        <v>32.5909866876436</v>
      </c>
      <c r="Y29" s="104">
        <f t="shared" si="10"/>
        <v>0.187813964112099</v>
      </c>
      <c r="Z29" s="103">
        <v>34.298127698015</v>
      </c>
      <c r="AA29" s="104">
        <f t="shared" si="11"/>
        <v>0.170490119115899</v>
      </c>
      <c r="AB29" s="103">
        <v>35.5991028138071</v>
      </c>
      <c r="AC29" s="104">
        <f t="shared" si="12"/>
        <v>0.156674997281599</v>
      </c>
      <c r="AD29" s="103">
        <v>40.6932503677915</v>
      </c>
      <c r="AE29" s="104">
        <f t="shared" si="13"/>
        <v>0.33373620459289</v>
      </c>
      <c r="AF29" s="103">
        <v>46.0103993271577</v>
      </c>
      <c r="AG29" s="104">
        <f t="shared" si="14"/>
        <v>0.344531341981943</v>
      </c>
      <c r="AH29" s="103">
        <v>44.621961385696</v>
      </c>
      <c r="AI29" s="104">
        <f t="shared" si="15"/>
        <v>0.339628807526105</v>
      </c>
      <c r="AJ29" s="103">
        <v>45.7179985448643</v>
      </c>
      <c r="AK29" s="104">
        <f t="shared" si="16"/>
        <v>0.317793236638159</v>
      </c>
      <c r="AL29" s="103">
        <v>44.2618389682531</v>
      </c>
      <c r="AM29" s="104">
        <f t="shared" si="17"/>
        <v>0.195820727735781</v>
      </c>
      <c r="AN29" s="103">
        <v>54.9676197227896</v>
      </c>
      <c r="AO29" s="104">
        <f t="shared" si="18"/>
        <v>0.477737725980363</v>
      </c>
      <c r="AP29" s="103">
        <v>52.549824680528</v>
      </c>
      <c r="AQ29" s="104">
        <f t="shared" si="19"/>
        <v>0.529061486757246</v>
      </c>
      <c r="AR29" s="103">
        <v>52.5840976469127</v>
      </c>
      <c r="AS29" s="104">
        <f t="shared" si="20"/>
        <v>0.36499058897586</v>
      </c>
      <c r="AT29" s="103">
        <f t="shared" si="21"/>
        <v>503.294917513431</v>
      </c>
      <c r="AU29" s="104">
        <f t="shared" si="22"/>
        <v>0.264833649015757</v>
      </c>
      <c r="AV29" s="104"/>
      <c r="AW29" s="103">
        <v>30.5618045649989</v>
      </c>
      <c r="AX29" s="104"/>
      <c r="AY29" s="103">
        <v>27.437787121829</v>
      </c>
      <c r="AZ29" s="104"/>
      <c r="BA29" s="103">
        <v>29.3023641446211</v>
      </c>
      <c r="BB29" s="104"/>
      <c r="BC29" s="103">
        <v>30.7771006527085</v>
      </c>
      <c r="BD29" s="104"/>
      <c r="BE29" s="103">
        <v>30.5107188570417</v>
      </c>
      <c r="BF29" s="104"/>
      <c r="BG29" s="103">
        <v>34.2203992502955</v>
      </c>
      <c r="BH29" s="104"/>
      <c r="BI29" s="103">
        <v>33.3091981413116</v>
      </c>
      <c r="BJ29" s="104"/>
      <c r="BK29" s="103">
        <v>34.6928465511753</v>
      </c>
      <c r="BL29" s="104"/>
      <c r="BM29" s="103">
        <v>37.0137746751224</v>
      </c>
      <c r="BN29" s="104"/>
      <c r="BO29" s="103">
        <v>37.1971417907213</v>
      </c>
      <c r="BP29" s="104"/>
      <c r="BQ29" s="103">
        <v>34.3673718392927</v>
      </c>
      <c r="BR29" s="104"/>
      <c r="BS29" s="103">
        <v>38.5234140598479</v>
      </c>
      <c r="BT29" s="104"/>
      <c r="BU29" s="103">
        <f t="shared" si="23"/>
        <v>397.913921648966</v>
      </c>
      <c r="BV29" s="104"/>
      <c r="BW29" s="162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146"/>
    </row>
    <row r="30" ht="28.8" customHeight="1" spans="1:88">
      <c r="A30" s="45"/>
      <c r="B30" s="141" t="s">
        <v>283</v>
      </c>
      <c r="C30" s="103">
        <v>252.609641745303</v>
      </c>
      <c r="D30" s="104">
        <f t="shared" si="0"/>
        <v>1.20077929702845</v>
      </c>
      <c r="E30" s="103">
        <v>230.384163523465</v>
      </c>
      <c r="F30" s="104">
        <f t="shared" si="1"/>
        <v>0.206346091890168</v>
      </c>
      <c r="G30" s="103">
        <v>247.242346257166</v>
      </c>
      <c r="H30" s="104">
        <f t="shared" si="2"/>
        <v>0.22511992077163</v>
      </c>
      <c r="I30" s="103">
        <v>241.099627998438</v>
      </c>
      <c r="J30" s="104">
        <f t="shared" si="3"/>
        <v>0.142144818449707</v>
      </c>
      <c r="K30" s="103">
        <v>260.350981306397</v>
      </c>
      <c r="L30" s="104">
        <f t="shared" si="4"/>
        <v>0.0820891594539417</v>
      </c>
      <c r="M30" s="103">
        <v>249.723149901359</v>
      </c>
      <c r="N30" s="104">
        <f t="shared" si="5"/>
        <v>-0.0793256449799136</v>
      </c>
      <c r="O30" s="103">
        <v>252.612879294079</v>
      </c>
      <c r="P30" s="104">
        <f t="shared" si="6"/>
        <v>0.222996661015334</v>
      </c>
      <c r="Q30" s="127"/>
      <c r="R30" s="127"/>
      <c r="S30" s="103">
        <f t="shared" si="7"/>
        <v>1734.02279002621</v>
      </c>
      <c r="T30" s="104">
        <f t="shared" si="8"/>
        <v>0.0510175571488871</v>
      </c>
      <c r="U30" s="103"/>
      <c r="V30" s="103">
        <v>114.781905703304</v>
      </c>
      <c r="W30" s="104">
        <f t="shared" si="9"/>
        <v>-0.348772904897463</v>
      </c>
      <c r="X30" s="103">
        <v>190.976839127888</v>
      </c>
      <c r="Y30" s="104">
        <f t="shared" si="10"/>
        <v>0.188120790173306</v>
      </c>
      <c r="Z30" s="103">
        <v>201.810730578475</v>
      </c>
      <c r="AA30" s="104">
        <f t="shared" si="11"/>
        <v>0.207176812355145</v>
      </c>
      <c r="AB30" s="103">
        <v>211.093745822614</v>
      </c>
      <c r="AC30" s="104">
        <f t="shared" si="12"/>
        <v>0.183384870419736</v>
      </c>
      <c r="AD30" s="103">
        <v>240.600304542168</v>
      </c>
      <c r="AE30" s="104">
        <f t="shared" si="13"/>
        <v>0.358579654858732</v>
      </c>
      <c r="AF30" s="103">
        <v>271.239389410288</v>
      </c>
      <c r="AG30" s="104">
        <f t="shared" si="14"/>
        <v>0.330102146312388</v>
      </c>
      <c r="AH30" s="103">
        <v>206.552386728807</v>
      </c>
      <c r="AI30" s="104">
        <f t="shared" si="15"/>
        <v>0.0292759850186624</v>
      </c>
      <c r="AJ30" s="103">
        <v>212.796099931844</v>
      </c>
      <c r="AK30" s="104">
        <f t="shared" si="16"/>
        <v>-0.00351252975338034</v>
      </c>
      <c r="AL30" s="103">
        <v>204.347682076941</v>
      </c>
      <c r="AM30" s="104">
        <f t="shared" si="17"/>
        <v>-0.0867881908630788</v>
      </c>
      <c r="AN30" s="103">
        <v>258.833853380826</v>
      </c>
      <c r="AO30" s="104">
        <f t="shared" si="18"/>
        <v>0.149022257620632</v>
      </c>
      <c r="AP30" s="103">
        <v>247.161748409664</v>
      </c>
      <c r="AQ30" s="104">
        <f t="shared" si="19"/>
        <v>0.178932062841874</v>
      </c>
      <c r="AR30" s="103">
        <v>249.017894898056</v>
      </c>
      <c r="AS30" s="104">
        <f t="shared" si="20"/>
        <v>0.0478594420046206</v>
      </c>
      <c r="AT30" s="103">
        <f t="shared" si="21"/>
        <v>2609.21258061088</v>
      </c>
      <c r="AU30" s="104">
        <f t="shared" si="22"/>
        <v>0.0990228275649896</v>
      </c>
      <c r="AV30" s="104"/>
      <c r="AW30" s="103">
        <v>176.254806605108</v>
      </c>
      <c r="AX30" s="104"/>
      <c r="AY30" s="103">
        <v>160.738571959532</v>
      </c>
      <c r="AZ30" s="104"/>
      <c r="BA30" s="103">
        <v>167.175784452612</v>
      </c>
      <c r="BB30" s="104"/>
      <c r="BC30" s="103">
        <v>178.381312030583</v>
      </c>
      <c r="BD30" s="104"/>
      <c r="BE30" s="103">
        <v>177.096943621746</v>
      </c>
      <c r="BF30" s="104"/>
      <c r="BG30" s="103">
        <v>203.923728837127</v>
      </c>
      <c r="BH30" s="104"/>
      <c r="BI30" s="103">
        <v>200.677359362525</v>
      </c>
      <c r="BJ30" s="104"/>
      <c r="BK30" s="103">
        <v>213.546187268345</v>
      </c>
      <c r="BL30" s="104"/>
      <c r="BM30" s="103">
        <v>223.768111660832</v>
      </c>
      <c r="BN30" s="104"/>
      <c r="BO30" s="103">
        <v>225.26443823361</v>
      </c>
      <c r="BP30" s="104"/>
      <c r="BQ30" s="103">
        <v>209.648847630684</v>
      </c>
      <c r="BR30" s="104"/>
      <c r="BS30" s="103">
        <v>237.64436804775</v>
      </c>
      <c r="BT30" s="104"/>
      <c r="BU30" s="103">
        <f t="shared" si="23"/>
        <v>2374.12045971045</v>
      </c>
      <c r="BV30" s="104"/>
      <c r="BW30" s="162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165"/>
      <c r="CI30" s="165"/>
      <c r="CJ30" s="146"/>
    </row>
    <row r="31" ht="28.8" customHeight="1" spans="1:88">
      <c r="A31" s="45"/>
      <c r="B31" s="141" t="s">
        <v>284</v>
      </c>
      <c r="C31" s="103">
        <v>48.0527657456325</v>
      </c>
      <c r="D31" s="104">
        <f t="shared" si="0"/>
        <v>1.59275095616795</v>
      </c>
      <c r="E31" s="103">
        <v>43.2025882416743</v>
      </c>
      <c r="F31" s="104">
        <f t="shared" si="1"/>
        <v>0.400327741213133</v>
      </c>
      <c r="G31" s="103">
        <v>46.4513413441474</v>
      </c>
      <c r="H31" s="104">
        <f t="shared" si="2"/>
        <v>0.459228700122222</v>
      </c>
      <c r="I31" s="103">
        <v>44.7591036268304</v>
      </c>
      <c r="J31" s="104">
        <f t="shared" si="3"/>
        <v>0.363382335386986</v>
      </c>
      <c r="K31" s="103">
        <v>49.8920414479058</v>
      </c>
      <c r="L31" s="104">
        <f t="shared" si="4"/>
        <v>0.303984409048597</v>
      </c>
      <c r="M31" s="103">
        <v>47.9526643360868</v>
      </c>
      <c r="N31" s="104">
        <f t="shared" si="5"/>
        <v>0.0982329895514233</v>
      </c>
      <c r="O31" s="103">
        <v>48.6026226043308</v>
      </c>
      <c r="P31" s="104">
        <f t="shared" si="6"/>
        <v>0.210854415445446</v>
      </c>
      <c r="Q31" s="127"/>
      <c r="R31" s="127"/>
      <c r="S31" s="103">
        <f t="shared" si="7"/>
        <v>328.913127346608</v>
      </c>
      <c r="T31" s="104">
        <f t="shared" si="8"/>
        <v>0.186984484205333</v>
      </c>
      <c r="U31" s="103"/>
      <c r="V31" s="103">
        <v>18.5335061322873</v>
      </c>
      <c r="W31" s="104">
        <f t="shared" si="9"/>
        <v>-0.359195462373515</v>
      </c>
      <c r="X31" s="103">
        <v>30.8517691752982</v>
      </c>
      <c r="Y31" s="104">
        <f t="shared" si="10"/>
        <v>0.178847147305349</v>
      </c>
      <c r="Z31" s="103">
        <v>31.8328040972993</v>
      </c>
      <c r="AA31" s="104">
        <f t="shared" si="11"/>
        <v>0.155847369114607</v>
      </c>
      <c r="AB31" s="103">
        <v>32.8294583735573</v>
      </c>
      <c r="AC31" s="104">
        <f t="shared" si="12"/>
        <v>0.130679915617796</v>
      </c>
      <c r="AD31" s="103">
        <v>38.2612254423407</v>
      </c>
      <c r="AE31" s="104">
        <f t="shared" si="13"/>
        <v>0.341252585473534</v>
      </c>
      <c r="AF31" s="103">
        <v>43.6634710414893</v>
      </c>
      <c r="AG31" s="104">
        <f t="shared" si="14"/>
        <v>0.324358154213605</v>
      </c>
      <c r="AH31" s="103">
        <v>40.1391133272211</v>
      </c>
      <c r="AI31" s="104">
        <f t="shared" si="15"/>
        <v>0.24743676230114</v>
      </c>
      <c r="AJ31" s="103">
        <v>40.9884222249456</v>
      </c>
      <c r="AK31" s="104">
        <f t="shared" si="16"/>
        <v>0.20445329762089</v>
      </c>
      <c r="AL31" s="103">
        <v>39.2982017787557</v>
      </c>
      <c r="AM31" s="104">
        <f t="shared" si="17"/>
        <v>0.0992090888590733</v>
      </c>
      <c r="AN31" s="103">
        <v>50.4303870847699</v>
      </c>
      <c r="AO31" s="104">
        <f t="shared" si="18"/>
        <v>0.411050740430945</v>
      </c>
      <c r="AP31" s="103">
        <v>46.9269797871918</v>
      </c>
      <c r="AQ31" s="104">
        <f t="shared" si="19"/>
        <v>0.404387271539972</v>
      </c>
      <c r="AR31" s="103">
        <v>44.8484485767697</v>
      </c>
      <c r="AS31" s="104">
        <f t="shared" si="20"/>
        <v>0.198168127816711</v>
      </c>
      <c r="AT31" s="103">
        <f t="shared" si="21"/>
        <v>458.603787041926</v>
      </c>
      <c r="AU31" s="104">
        <f t="shared" si="22"/>
        <v>0.201446940192537</v>
      </c>
      <c r="AV31" s="104"/>
      <c r="AW31" s="103">
        <v>28.9222454649505</v>
      </c>
      <c r="AX31" s="104"/>
      <c r="AY31" s="103">
        <v>26.1711361356901</v>
      </c>
      <c r="AZ31" s="104"/>
      <c r="BA31" s="103">
        <v>27.5406640598954</v>
      </c>
      <c r="BB31" s="104"/>
      <c r="BC31" s="103">
        <v>29.0351477196086</v>
      </c>
      <c r="BD31" s="104"/>
      <c r="BE31" s="103">
        <v>28.5264877449108</v>
      </c>
      <c r="BF31" s="104"/>
      <c r="BG31" s="103">
        <v>32.9695338852022</v>
      </c>
      <c r="BH31" s="104"/>
      <c r="BI31" s="103">
        <v>32.1772730612626</v>
      </c>
      <c r="BJ31" s="104"/>
      <c r="BK31" s="103">
        <v>34.0307277217875</v>
      </c>
      <c r="BL31" s="104"/>
      <c r="BM31" s="103">
        <v>35.7513435587995</v>
      </c>
      <c r="BN31" s="104"/>
      <c r="BO31" s="103">
        <v>35.739598612427</v>
      </c>
      <c r="BP31" s="104"/>
      <c r="BQ31" s="103">
        <v>33.4145578916664</v>
      </c>
      <c r="BR31" s="104"/>
      <c r="BS31" s="103">
        <v>37.4308475877188</v>
      </c>
      <c r="BT31" s="104"/>
      <c r="BU31" s="103">
        <f t="shared" si="23"/>
        <v>381.709563443919</v>
      </c>
      <c r="BV31" s="104"/>
      <c r="BW31" s="162"/>
      <c r="BX31" s="167"/>
      <c r="BY31" s="167"/>
      <c r="BZ31" s="167"/>
      <c r="CA31" s="167"/>
      <c r="CB31" s="167"/>
      <c r="CC31" s="167"/>
      <c r="CD31" s="167"/>
      <c r="CE31" s="167"/>
      <c r="CF31" s="167"/>
      <c r="CG31" s="167"/>
      <c r="CH31" s="167"/>
      <c r="CI31" s="167"/>
      <c r="CJ31" s="146"/>
    </row>
    <row r="32" ht="28.8" customHeight="1" spans="1:88">
      <c r="A32" s="29"/>
      <c r="B32" s="141" t="s">
        <v>276</v>
      </c>
      <c r="C32" s="103">
        <v>164.56368206099</v>
      </c>
      <c r="D32" s="104">
        <f t="shared" si="0"/>
        <v>1.78861747083853</v>
      </c>
      <c r="E32" s="103">
        <v>160.354847743963</v>
      </c>
      <c r="F32" s="104">
        <f t="shared" si="1"/>
        <v>0.705872260725495</v>
      </c>
      <c r="G32" s="103">
        <v>168.405088236693</v>
      </c>
      <c r="H32" s="104">
        <f t="shared" si="2"/>
        <v>0.722677009892437</v>
      </c>
      <c r="I32" s="103">
        <v>165.882197624507</v>
      </c>
      <c r="J32" s="104">
        <f t="shared" si="3"/>
        <v>0.59312924449577</v>
      </c>
      <c r="K32" s="103">
        <v>185.427578481934</v>
      </c>
      <c r="L32" s="104">
        <f t="shared" si="4"/>
        <v>0.540869351778124</v>
      </c>
      <c r="M32" s="103">
        <v>173.711547696032</v>
      </c>
      <c r="N32" s="104">
        <f t="shared" si="5"/>
        <v>0.235977412675551</v>
      </c>
      <c r="O32" s="103">
        <v>174.877719835289</v>
      </c>
      <c r="P32" s="104">
        <f t="shared" si="6"/>
        <v>0.386893829416046</v>
      </c>
      <c r="Q32" s="127"/>
      <c r="R32" s="127"/>
      <c r="S32" s="103">
        <f t="shared" si="7"/>
        <v>1193.22266167941</v>
      </c>
      <c r="T32" s="104">
        <f t="shared" si="8"/>
        <v>0.362802011084524</v>
      </c>
      <c r="U32" s="103"/>
      <c r="V32" s="103">
        <v>59.0126411319894</v>
      </c>
      <c r="W32" s="104">
        <f t="shared" si="9"/>
        <v>-0.305681330726966</v>
      </c>
      <c r="X32" s="103">
        <v>94.0016737687998</v>
      </c>
      <c r="Y32" s="104">
        <f t="shared" si="10"/>
        <v>0.0806086394766801</v>
      </c>
      <c r="Z32" s="103">
        <v>97.7577846976713</v>
      </c>
      <c r="AA32" s="104">
        <f t="shared" si="11"/>
        <v>0.230126853729759</v>
      </c>
      <c r="AB32" s="103">
        <v>104.123502972296</v>
      </c>
      <c r="AC32" s="104">
        <f t="shared" si="12"/>
        <v>0.238329786260159</v>
      </c>
      <c r="AD32" s="103">
        <v>120.339585097176</v>
      </c>
      <c r="AE32" s="104">
        <f t="shared" si="13"/>
        <v>0.454484641768335</v>
      </c>
      <c r="AF32" s="103">
        <v>140.545891789393</v>
      </c>
      <c r="AG32" s="104">
        <f t="shared" si="14"/>
        <v>0.249303339217116</v>
      </c>
      <c r="AH32" s="103">
        <v>126.093083786321</v>
      </c>
      <c r="AI32" s="104">
        <f t="shared" si="15"/>
        <v>0.130673907476516</v>
      </c>
      <c r="AJ32" s="103">
        <v>133.691510987958</v>
      </c>
      <c r="AK32" s="104">
        <f t="shared" si="16"/>
        <v>0.0470377581824193</v>
      </c>
      <c r="AL32" s="103">
        <v>125.629853288862</v>
      </c>
      <c r="AM32" s="104">
        <f t="shared" si="17"/>
        <v>-0.00819806630434272</v>
      </c>
      <c r="AN32" s="103">
        <v>176.951307519528</v>
      </c>
      <c r="AO32" s="104">
        <f t="shared" si="18"/>
        <v>0.402367242624904</v>
      </c>
      <c r="AP32" s="103">
        <v>165.938779142266</v>
      </c>
      <c r="AQ32" s="104">
        <f t="shared" si="19"/>
        <v>0.370398751851001</v>
      </c>
      <c r="AR32" s="103">
        <v>162.089647258053</v>
      </c>
      <c r="AS32" s="104">
        <f t="shared" si="20"/>
        <v>0.127588125768456</v>
      </c>
      <c r="AT32" s="103">
        <f t="shared" si="21"/>
        <v>1506.17526144031</v>
      </c>
      <c r="AU32" s="104">
        <f t="shared" si="22"/>
        <v>0.169695486557953</v>
      </c>
      <c r="AV32" s="104"/>
      <c r="AW32" s="103">
        <v>84.9935969513492</v>
      </c>
      <c r="AX32" s="104"/>
      <c r="AY32" s="103">
        <v>86.9895634133771</v>
      </c>
      <c r="AZ32" s="104"/>
      <c r="BA32" s="103">
        <v>79.4696777826356</v>
      </c>
      <c r="BB32" s="104"/>
      <c r="BC32" s="103">
        <v>84.083823330097</v>
      </c>
      <c r="BD32" s="104"/>
      <c r="BE32" s="103">
        <v>82.7369238845103</v>
      </c>
      <c r="BF32" s="104"/>
      <c r="BG32" s="103">
        <v>112.499412574585</v>
      </c>
      <c r="BH32" s="104"/>
      <c r="BI32" s="103">
        <v>111.520291529271</v>
      </c>
      <c r="BJ32" s="104"/>
      <c r="BK32" s="103">
        <v>127.685472604194</v>
      </c>
      <c r="BL32" s="104"/>
      <c r="BM32" s="103">
        <v>126.668288315127</v>
      </c>
      <c r="BN32" s="104"/>
      <c r="BO32" s="103">
        <v>126.180434155262</v>
      </c>
      <c r="BP32" s="104"/>
      <c r="BQ32" s="103">
        <v>121.087952625564</v>
      </c>
      <c r="BR32" s="104"/>
      <c r="BS32" s="103">
        <v>143.748983830056</v>
      </c>
      <c r="BT32" s="104"/>
      <c r="BU32" s="103">
        <f t="shared" si="23"/>
        <v>1287.66442099603</v>
      </c>
      <c r="BV32" s="104"/>
      <c r="BW32" s="162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46"/>
    </row>
    <row r="33" ht="28.8" customHeight="1" spans="1:88">
      <c r="A33" s="166" t="s">
        <v>99</v>
      </c>
      <c r="B33" s="141" t="s">
        <v>282</v>
      </c>
      <c r="C33" s="103">
        <v>137.038754774112</v>
      </c>
      <c r="D33" s="104">
        <f t="shared" si="0"/>
        <v>2.26168493568057</v>
      </c>
      <c r="E33" s="103">
        <v>123.979015635042</v>
      </c>
      <c r="F33" s="104">
        <f t="shared" si="1"/>
        <v>2.01564525654362</v>
      </c>
      <c r="G33" s="103">
        <v>135.563604367924</v>
      </c>
      <c r="H33" s="104">
        <f t="shared" si="2"/>
        <v>1.810433506791</v>
      </c>
      <c r="I33" s="103">
        <v>137.08087372722</v>
      </c>
      <c r="J33" s="104">
        <f t="shared" si="3"/>
        <v>1.53537399692143</v>
      </c>
      <c r="K33" s="103">
        <v>145.349149675795</v>
      </c>
      <c r="L33" s="104">
        <f t="shared" si="4"/>
        <v>1.4022047759324</v>
      </c>
      <c r="M33" s="103">
        <v>141.756649385835</v>
      </c>
      <c r="N33" s="104">
        <f t="shared" si="5"/>
        <v>1.31098168169214</v>
      </c>
      <c r="O33" s="103">
        <v>153.762080706161</v>
      </c>
      <c r="P33" s="104">
        <f t="shared" si="6"/>
        <v>1.30220474706067</v>
      </c>
      <c r="Q33" s="127"/>
      <c r="R33" s="127"/>
      <c r="S33" s="103">
        <f t="shared" si="7"/>
        <v>974.530128272089</v>
      </c>
      <c r="T33" s="104">
        <f t="shared" si="8"/>
        <v>1.17350869184169</v>
      </c>
      <c r="U33" s="103"/>
      <c r="V33" s="103">
        <v>42.0147124803512</v>
      </c>
      <c r="W33" s="104">
        <f t="shared" si="9"/>
        <v>-0.306223753626762</v>
      </c>
      <c r="X33" s="103">
        <v>41.1119362816369</v>
      </c>
      <c r="Y33" s="104">
        <f t="shared" si="10"/>
        <v>0.0289817168099971</v>
      </c>
      <c r="Z33" s="103">
        <v>48.2358340947596</v>
      </c>
      <c r="AA33" s="104">
        <f t="shared" si="11"/>
        <v>-0.0836539148373884</v>
      </c>
      <c r="AB33" s="103">
        <v>54.0673186258399</v>
      </c>
      <c r="AC33" s="104">
        <f t="shared" si="12"/>
        <v>-0.0422851788399844</v>
      </c>
      <c r="AD33" s="103">
        <v>60.5065609443637</v>
      </c>
      <c r="AE33" s="104">
        <f t="shared" si="13"/>
        <v>0.096848715779102</v>
      </c>
      <c r="AF33" s="103">
        <v>61.3404470095316</v>
      </c>
      <c r="AG33" s="104">
        <f t="shared" si="14"/>
        <v>0.0166727922110872</v>
      </c>
      <c r="AH33" s="103">
        <v>66.7890555357756</v>
      </c>
      <c r="AI33" s="104">
        <f t="shared" si="15"/>
        <v>-0.0258565288581541</v>
      </c>
      <c r="AJ33" s="103">
        <v>74.3013911284464</v>
      </c>
      <c r="AK33" s="104">
        <f t="shared" si="16"/>
        <v>-0.0463145587030807</v>
      </c>
      <c r="AL33" s="103">
        <v>67.5617927529431</v>
      </c>
      <c r="AM33" s="104">
        <f t="shared" si="17"/>
        <v>-0.0319939151467771</v>
      </c>
      <c r="AN33" s="103">
        <v>130.043798550266</v>
      </c>
      <c r="AO33" s="104">
        <f t="shared" si="18"/>
        <v>0.742288718483671</v>
      </c>
      <c r="AP33" s="103">
        <v>148.079235467267</v>
      </c>
      <c r="AQ33" s="104">
        <f t="shared" si="19"/>
        <v>0.897040773679471</v>
      </c>
      <c r="AR33" s="103">
        <v>138.071556866208</v>
      </c>
      <c r="AS33" s="104">
        <f t="shared" si="20"/>
        <v>0.528956307846931</v>
      </c>
      <c r="AT33" s="103">
        <f t="shared" si="21"/>
        <v>932.123639737389</v>
      </c>
      <c r="AU33" s="104">
        <f t="shared" si="22"/>
        <v>0.188365920063296</v>
      </c>
      <c r="AV33" s="104"/>
      <c r="AW33" s="103">
        <v>60.5594565971175</v>
      </c>
      <c r="AX33" s="104"/>
      <c r="AY33" s="103">
        <v>39.9540007465733</v>
      </c>
      <c r="AZ33" s="104"/>
      <c r="BA33" s="103">
        <v>52.6393192220599</v>
      </c>
      <c r="BB33" s="104"/>
      <c r="BC33" s="103">
        <v>56.4545075749708</v>
      </c>
      <c r="BD33" s="104"/>
      <c r="BE33" s="103">
        <v>55.1639985295377</v>
      </c>
      <c r="BF33" s="104"/>
      <c r="BG33" s="103">
        <v>60.3345023880562</v>
      </c>
      <c r="BH33" s="104"/>
      <c r="BI33" s="103">
        <v>68.5618263780884</v>
      </c>
      <c r="BJ33" s="104"/>
      <c r="BK33" s="103">
        <v>77.9097466638515</v>
      </c>
      <c r="BL33" s="104"/>
      <c r="BM33" s="103">
        <v>69.7948017167551</v>
      </c>
      <c r="BN33" s="104"/>
      <c r="BO33" s="103">
        <v>74.6396376046355</v>
      </c>
      <c r="BP33" s="104"/>
      <c r="BQ33" s="103">
        <v>78.0580141037532</v>
      </c>
      <c r="BR33" s="104"/>
      <c r="BS33" s="103">
        <v>90.3044489614224</v>
      </c>
      <c r="BT33" s="104"/>
      <c r="BU33" s="103">
        <f t="shared" si="23"/>
        <v>784.374260486822</v>
      </c>
      <c r="BV33" s="104"/>
      <c r="BW33" s="162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146"/>
    </row>
    <row r="34" ht="28.8" customHeight="1" spans="1:88">
      <c r="A34" s="45"/>
      <c r="B34" s="141" t="s">
        <v>283</v>
      </c>
      <c r="C34" s="103">
        <v>556.715576802741</v>
      </c>
      <c r="D34" s="104">
        <f t="shared" si="0"/>
        <v>2.27466709887813</v>
      </c>
      <c r="E34" s="103">
        <v>515.553886376493</v>
      </c>
      <c r="F34" s="104">
        <f t="shared" si="1"/>
        <v>2.12922161267695</v>
      </c>
      <c r="G34" s="103">
        <v>557.641167977974</v>
      </c>
      <c r="H34" s="104">
        <f t="shared" si="2"/>
        <v>1.87292688581099</v>
      </c>
      <c r="I34" s="103">
        <v>568.737487556682</v>
      </c>
      <c r="J34" s="104">
        <f t="shared" si="3"/>
        <v>1.59390513732241</v>
      </c>
      <c r="K34" s="103">
        <v>605.232048990672</v>
      </c>
      <c r="L34" s="104">
        <f t="shared" si="4"/>
        <v>1.47376838848535</v>
      </c>
      <c r="M34" s="103">
        <v>586.118390740625</v>
      </c>
      <c r="N34" s="104">
        <f t="shared" si="5"/>
        <v>1.37003651027211</v>
      </c>
      <c r="O34" s="103">
        <v>633.599352292541</v>
      </c>
      <c r="P34" s="104">
        <f t="shared" si="6"/>
        <v>1.34543054164875</v>
      </c>
      <c r="Q34" s="127"/>
      <c r="R34" s="127"/>
      <c r="S34" s="103">
        <f t="shared" si="7"/>
        <v>4023.59791073773</v>
      </c>
      <c r="T34" s="104">
        <f t="shared" si="8"/>
        <v>1.22001744748989</v>
      </c>
      <c r="U34" s="103"/>
      <c r="V34" s="103">
        <v>170.006770151832</v>
      </c>
      <c r="W34" s="104">
        <f t="shared" si="9"/>
        <v>-0.288236600781025</v>
      </c>
      <c r="X34" s="103">
        <v>164.754673906094</v>
      </c>
      <c r="Y34" s="104">
        <f t="shared" si="10"/>
        <v>0.0292475146678834</v>
      </c>
      <c r="Z34" s="103">
        <v>194.102109152896</v>
      </c>
      <c r="AA34" s="104">
        <f t="shared" si="11"/>
        <v>-0.0549328627086179</v>
      </c>
      <c r="AB34" s="103">
        <v>219.25917003417</v>
      </c>
      <c r="AC34" s="104">
        <f t="shared" si="12"/>
        <v>-0.0201696827535087</v>
      </c>
      <c r="AD34" s="103">
        <v>244.659949495614</v>
      </c>
      <c r="AE34" s="104">
        <f t="shared" si="13"/>
        <v>0.117279672384896</v>
      </c>
      <c r="AF34" s="103">
        <v>247.303528110346</v>
      </c>
      <c r="AG34" s="104">
        <f t="shared" si="14"/>
        <v>0.00576209776115455</v>
      </c>
      <c r="AH34" s="103">
        <v>270.142023411678</v>
      </c>
      <c r="AI34" s="104">
        <f t="shared" si="15"/>
        <v>-0.0437114614792823</v>
      </c>
      <c r="AJ34" s="103">
        <v>302.189022857249</v>
      </c>
      <c r="AK34" s="104">
        <f t="shared" si="16"/>
        <v>-0.0785996233397867</v>
      </c>
      <c r="AL34" s="103">
        <v>272.55032977415</v>
      </c>
      <c r="AM34" s="104">
        <f t="shared" si="17"/>
        <v>-0.055499496509509</v>
      </c>
      <c r="AN34" s="103">
        <v>535.068122896931</v>
      </c>
      <c r="AO34" s="104">
        <f t="shared" si="18"/>
        <v>0.730891597778711</v>
      </c>
      <c r="AP34" s="103">
        <v>608.568452825275</v>
      </c>
      <c r="AQ34" s="104">
        <f t="shared" si="19"/>
        <v>0.868784225254838</v>
      </c>
      <c r="AR34" s="103">
        <v>571.328170450596</v>
      </c>
      <c r="AS34" s="104">
        <f t="shared" si="20"/>
        <v>0.499640337188594</v>
      </c>
      <c r="AT34" s="103">
        <f t="shared" si="21"/>
        <v>3799.93232306683</v>
      </c>
      <c r="AU34" s="104">
        <f t="shared" si="22"/>
        <v>0.184618939911992</v>
      </c>
      <c r="AV34" s="104"/>
      <c r="AW34" s="103">
        <v>238.852925478301</v>
      </c>
      <c r="AX34" s="104"/>
      <c r="AY34" s="103">
        <v>160.072938295369</v>
      </c>
      <c r="AZ34" s="104"/>
      <c r="BA34" s="103">
        <v>205.384465816052</v>
      </c>
      <c r="BB34" s="104"/>
      <c r="BC34" s="103">
        <v>223.772592228346</v>
      </c>
      <c r="BD34" s="104"/>
      <c r="BE34" s="103">
        <v>218.97825185826</v>
      </c>
      <c r="BF34" s="104"/>
      <c r="BG34" s="103">
        <v>245.886704878667</v>
      </c>
      <c r="BH34" s="104"/>
      <c r="BI34" s="103">
        <v>282.490077555003</v>
      </c>
      <c r="BJ34" s="104"/>
      <c r="BK34" s="103">
        <v>327.9671145269</v>
      </c>
      <c r="BL34" s="104"/>
      <c r="BM34" s="103">
        <v>288.565573831792</v>
      </c>
      <c r="BN34" s="104"/>
      <c r="BO34" s="103">
        <v>309.128615323799</v>
      </c>
      <c r="BP34" s="104"/>
      <c r="BQ34" s="103">
        <v>325.649395259791</v>
      </c>
      <c r="BR34" s="104"/>
      <c r="BS34" s="103">
        <v>380.976795757359</v>
      </c>
      <c r="BT34" s="104"/>
      <c r="BU34" s="103">
        <f t="shared" si="23"/>
        <v>3207.72545080964</v>
      </c>
      <c r="BV34" s="104"/>
      <c r="BW34" s="162"/>
      <c r="BX34" s="165"/>
      <c r="BY34" s="165"/>
      <c r="BZ34" s="165"/>
      <c r="CA34" s="165"/>
      <c r="CB34" s="165"/>
      <c r="CC34" s="165"/>
      <c r="CD34" s="165"/>
      <c r="CE34" s="165"/>
      <c r="CF34" s="165"/>
      <c r="CG34" s="165"/>
      <c r="CH34" s="165"/>
      <c r="CI34" s="165"/>
      <c r="CJ34" s="146"/>
    </row>
    <row r="35" ht="28.8" customHeight="1" spans="1:88">
      <c r="A35" s="45"/>
      <c r="B35" s="141" t="s">
        <v>284</v>
      </c>
      <c r="C35" s="103">
        <v>117.815440896573</v>
      </c>
      <c r="D35" s="104">
        <f t="shared" si="0"/>
        <v>2.16664547220877</v>
      </c>
      <c r="E35" s="103">
        <v>107.319643513771</v>
      </c>
      <c r="F35" s="104">
        <f t="shared" si="1"/>
        <v>1.98898665906692</v>
      </c>
      <c r="G35" s="103">
        <v>118.256302868706</v>
      </c>
      <c r="H35" s="104">
        <f t="shared" si="2"/>
        <v>1.84977782883515</v>
      </c>
      <c r="I35" s="103">
        <v>119.354184445751</v>
      </c>
      <c r="J35" s="104">
        <f t="shared" si="3"/>
        <v>1.58249289350481</v>
      </c>
      <c r="K35" s="103">
        <v>127.29488957963</v>
      </c>
      <c r="L35" s="104">
        <f t="shared" si="4"/>
        <v>1.40620456352127</v>
      </c>
      <c r="M35" s="103">
        <v>123.933400464734</v>
      </c>
      <c r="N35" s="104">
        <f t="shared" si="5"/>
        <v>1.2692090550994</v>
      </c>
      <c r="O35" s="103">
        <v>134.779360187212</v>
      </c>
      <c r="P35" s="104">
        <f t="shared" si="6"/>
        <v>1.34217318617956</v>
      </c>
      <c r="Q35" s="127"/>
      <c r="R35" s="127"/>
      <c r="S35" s="103">
        <f t="shared" si="7"/>
        <v>848.753221956377</v>
      </c>
      <c r="T35" s="104">
        <f t="shared" si="8"/>
        <v>1.18010193351101</v>
      </c>
      <c r="U35" s="103"/>
      <c r="V35" s="103">
        <v>37.2051250860095</v>
      </c>
      <c r="W35" s="104">
        <f t="shared" si="9"/>
        <v>-0.315923124337635</v>
      </c>
      <c r="X35" s="103">
        <v>35.9050259352022</v>
      </c>
      <c r="Y35" s="104">
        <f t="shared" si="10"/>
        <v>0.00137198533040861</v>
      </c>
      <c r="Z35" s="103">
        <v>41.4966744677929</v>
      </c>
      <c r="AA35" s="104">
        <f t="shared" si="11"/>
        <v>-0.0970349104719477</v>
      </c>
      <c r="AB35" s="103">
        <v>46.2166555214681</v>
      </c>
      <c r="AC35" s="104">
        <f t="shared" si="12"/>
        <v>-0.0771513058831799</v>
      </c>
      <c r="AD35" s="103">
        <v>52.9027712395929</v>
      </c>
      <c r="AE35" s="104">
        <f t="shared" si="13"/>
        <v>0.0836192202066486</v>
      </c>
      <c r="AF35" s="103">
        <v>54.6152414587933</v>
      </c>
      <c r="AG35" s="104">
        <f t="shared" si="14"/>
        <v>0.00962773153250174</v>
      </c>
      <c r="AH35" s="103">
        <v>57.5445748343903</v>
      </c>
      <c r="AI35" s="104">
        <f t="shared" si="15"/>
        <v>-0.0611366043693912</v>
      </c>
      <c r="AJ35" s="103">
        <v>63.4320678750227</v>
      </c>
      <c r="AK35" s="104">
        <f t="shared" si="16"/>
        <v>-0.111499817201023</v>
      </c>
      <c r="AL35" s="103">
        <v>57.3756023368098</v>
      </c>
      <c r="AM35" s="104">
        <f t="shared" si="17"/>
        <v>-0.0846930184713949</v>
      </c>
      <c r="AN35" s="103">
        <v>113.591927638346</v>
      </c>
      <c r="AO35" s="104">
        <f t="shared" si="18"/>
        <v>0.703312469295662</v>
      </c>
      <c r="AP35" s="103">
        <v>129.369012719842</v>
      </c>
      <c r="AQ35" s="104">
        <f t="shared" si="19"/>
        <v>0.835055606181894</v>
      </c>
      <c r="AR35" s="103">
        <v>119.64947571914</v>
      </c>
      <c r="AS35" s="104">
        <f t="shared" si="20"/>
        <v>0.472436624431881</v>
      </c>
      <c r="AT35" s="103">
        <f t="shared" si="21"/>
        <v>809.30415483241</v>
      </c>
      <c r="AU35" s="104">
        <f t="shared" si="22"/>
        <v>0.151198454767502</v>
      </c>
      <c r="AV35" s="104"/>
      <c r="AW35" s="103">
        <v>54.3873450626221</v>
      </c>
      <c r="AX35" s="104"/>
      <c r="AY35" s="103">
        <v>35.8558322593328</v>
      </c>
      <c r="AZ35" s="104"/>
      <c r="BA35" s="103">
        <v>45.9560119754815</v>
      </c>
      <c r="BB35" s="104"/>
      <c r="BC35" s="103">
        <v>50.0804257687097</v>
      </c>
      <c r="BD35" s="104"/>
      <c r="BE35" s="103">
        <v>48.8204437989797</v>
      </c>
      <c r="BF35" s="104"/>
      <c r="BG35" s="103">
        <v>54.094434763488</v>
      </c>
      <c r="BH35" s="104"/>
      <c r="BI35" s="103">
        <v>61.2917439344189</v>
      </c>
      <c r="BJ35" s="104"/>
      <c r="BK35" s="103">
        <v>71.3922958070727</v>
      </c>
      <c r="BL35" s="104"/>
      <c r="BM35" s="103">
        <v>62.6845457258393</v>
      </c>
      <c r="BN35" s="104"/>
      <c r="BO35" s="103">
        <v>66.6888370078788</v>
      </c>
      <c r="BP35" s="104"/>
      <c r="BQ35" s="103">
        <v>70.4986880419463</v>
      </c>
      <c r="BR35" s="104"/>
      <c r="BS35" s="103">
        <v>81.2595080384564</v>
      </c>
      <c r="BT35" s="104"/>
      <c r="BU35" s="103">
        <f t="shared" si="23"/>
        <v>703.010112184226</v>
      </c>
      <c r="BV35" s="104"/>
      <c r="BW35" s="162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46"/>
    </row>
    <row r="36" ht="28.8" customHeight="1" spans="1:88">
      <c r="A36" s="29"/>
      <c r="B36" s="141" t="s">
        <v>276</v>
      </c>
      <c r="C36" s="103">
        <v>354.704268132854</v>
      </c>
      <c r="D36" s="104">
        <f t="shared" si="0"/>
        <v>2.45077873738861</v>
      </c>
      <c r="E36" s="103">
        <v>350.187100142946</v>
      </c>
      <c r="F36" s="104">
        <f t="shared" si="1"/>
        <v>2.68918403063416</v>
      </c>
      <c r="G36" s="103">
        <v>376.903214812601</v>
      </c>
      <c r="H36" s="104">
        <f t="shared" si="2"/>
        <v>2.40863914504038</v>
      </c>
      <c r="I36" s="103">
        <v>388.870182621842</v>
      </c>
      <c r="J36" s="104">
        <f t="shared" si="3"/>
        <v>2.05746863791744</v>
      </c>
      <c r="K36" s="103">
        <v>419.60192363751</v>
      </c>
      <c r="L36" s="104">
        <f t="shared" si="4"/>
        <v>1.90636629135972</v>
      </c>
      <c r="M36" s="103">
        <v>398.187628647174</v>
      </c>
      <c r="N36" s="104">
        <f t="shared" si="5"/>
        <v>1.61044736186138</v>
      </c>
      <c r="O36" s="103">
        <v>430.112057428882</v>
      </c>
      <c r="P36" s="104">
        <f t="shared" si="6"/>
        <v>1.70648201594465</v>
      </c>
      <c r="Q36" s="127"/>
      <c r="R36" s="127"/>
      <c r="S36" s="103">
        <f t="shared" si="7"/>
        <v>2718.56637542381</v>
      </c>
      <c r="T36" s="104">
        <f t="shared" si="8"/>
        <v>1.53317046480799</v>
      </c>
      <c r="U36" s="103"/>
      <c r="V36" s="103">
        <v>102.78962956671</v>
      </c>
      <c r="W36" s="104">
        <f t="shared" si="9"/>
        <v>-0.258795282958495</v>
      </c>
      <c r="X36" s="103">
        <v>94.922643390807</v>
      </c>
      <c r="Y36" s="104">
        <f t="shared" si="10"/>
        <v>-0.0820767381492695</v>
      </c>
      <c r="Z36" s="103">
        <v>110.572929188178</v>
      </c>
      <c r="AA36" s="104">
        <f t="shared" si="11"/>
        <v>-0.0390066765823783</v>
      </c>
      <c r="AB36" s="103">
        <v>127.186973498023</v>
      </c>
      <c r="AC36" s="104">
        <f t="shared" si="12"/>
        <v>0.0107113519494508</v>
      </c>
      <c r="AD36" s="103">
        <v>144.373379530631</v>
      </c>
      <c r="AE36" s="104">
        <f t="shared" si="13"/>
        <v>0.1751011930084</v>
      </c>
      <c r="AF36" s="103">
        <v>152.536164668437</v>
      </c>
      <c r="AG36" s="104">
        <f t="shared" si="14"/>
        <v>-0.0475904932841023</v>
      </c>
      <c r="AH36" s="103">
        <v>158.919237185014</v>
      </c>
      <c r="AI36" s="104">
        <f t="shared" si="15"/>
        <v>-0.137794542912936</v>
      </c>
      <c r="AJ36" s="103">
        <v>181.886344494711</v>
      </c>
      <c r="AK36" s="104">
        <f t="shared" si="16"/>
        <v>-0.21743678682841</v>
      </c>
      <c r="AL36" s="103">
        <v>161.248627558952</v>
      </c>
      <c r="AM36" s="104">
        <f t="shared" si="17"/>
        <v>-0.163239937526594</v>
      </c>
      <c r="AN36" s="103">
        <v>350.394708144704</v>
      </c>
      <c r="AO36" s="104">
        <f t="shared" si="18"/>
        <v>0.715153453716001</v>
      </c>
      <c r="AP36" s="103">
        <v>402.164882723833</v>
      </c>
      <c r="AQ36" s="104">
        <f t="shared" si="19"/>
        <v>0.81425708330036</v>
      </c>
      <c r="AR36" s="103">
        <v>380.160725255255</v>
      </c>
      <c r="AS36" s="104">
        <f t="shared" si="20"/>
        <v>0.403973372031276</v>
      </c>
      <c r="AT36" s="103">
        <f t="shared" si="21"/>
        <v>2367.15624520525</v>
      </c>
      <c r="AU36" s="104">
        <f t="shared" si="22"/>
        <v>0.142343784996553</v>
      </c>
      <c r="AV36" s="104"/>
      <c r="AW36" s="103">
        <v>138.679135741326</v>
      </c>
      <c r="AX36" s="104"/>
      <c r="AY36" s="103">
        <v>103.410216666067</v>
      </c>
      <c r="AZ36" s="104"/>
      <c r="BA36" s="103">
        <v>115.061079503594</v>
      </c>
      <c r="BB36" s="104"/>
      <c r="BC36" s="103">
        <v>125.839066962794</v>
      </c>
      <c r="BD36" s="104"/>
      <c r="BE36" s="103">
        <v>122.860380356706</v>
      </c>
      <c r="BF36" s="104"/>
      <c r="BG36" s="103">
        <v>160.158171031296</v>
      </c>
      <c r="BH36" s="104"/>
      <c r="BI36" s="103">
        <v>184.317132162348</v>
      </c>
      <c r="BJ36" s="104"/>
      <c r="BK36" s="103">
        <v>232.423836737173</v>
      </c>
      <c r="BL36" s="104"/>
      <c r="BM36" s="103">
        <v>192.705931832253</v>
      </c>
      <c r="BN36" s="104"/>
      <c r="BO36" s="103">
        <v>204.2935035262</v>
      </c>
      <c r="BP36" s="104"/>
      <c r="BQ36" s="103">
        <v>221.669181520981</v>
      </c>
      <c r="BR36" s="104"/>
      <c r="BS36" s="103">
        <v>270.774882792283</v>
      </c>
      <c r="BT36" s="104"/>
      <c r="BU36" s="103">
        <f t="shared" si="23"/>
        <v>2072.19251883302</v>
      </c>
      <c r="BV36" s="104"/>
      <c r="BW36" s="162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46"/>
    </row>
    <row r="37" ht="28.8" customHeight="1" spans="1:88">
      <c r="A37" s="166" t="s">
        <v>100</v>
      </c>
      <c r="B37" s="141" t="s">
        <v>282</v>
      </c>
      <c r="C37" s="103">
        <v>159.264098050744</v>
      </c>
      <c r="D37" s="104">
        <f t="shared" ref="D37:D68" si="24">C37/V37-1</f>
        <v>1.99620861003781</v>
      </c>
      <c r="E37" s="103">
        <v>128.86777073599</v>
      </c>
      <c r="F37" s="104">
        <f t="shared" ref="F37:F68" si="25">E37/X37-1</f>
        <v>1.49625843951821</v>
      </c>
      <c r="G37" s="103">
        <v>168.359698016017</v>
      </c>
      <c r="H37" s="104">
        <f t="shared" ref="H37:H68" si="26">G37/Z37-1</f>
        <v>1.80216254197199</v>
      </c>
      <c r="I37" s="103">
        <v>173.83613399797</v>
      </c>
      <c r="J37" s="104">
        <f t="shared" ref="J37:J68" si="27">I37/AB37-1</f>
        <v>1.54872837288795</v>
      </c>
      <c r="K37" s="103">
        <v>188.677777189326</v>
      </c>
      <c r="L37" s="104">
        <f t="shared" ref="L37:L68" si="28">K37/AD37-1</f>
        <v>1.4421454185127</v>
      </c>
      <c r="M37" s="103">
        <v>183.673817341905</v>
      </c>
      <c r="N37" s="104">
        <f t="shared" ref="N37:N68" si="29">M37/AF37-1</f>
        <v>1.34261179925507</v>
      </c>
      <c r="O37" s="103">
        <v>199.246164274607</v>
      </c>
      <c r="P37" s="104">
        <f t="shared" ref="P37:P68" si="30">O37/AH37-1</f>
        <v>1.38308355399365</v>
      </c>
      <c r="Q37" s="127"/>
      <c r="R37" s="127"/>
      <c r="S37" s="103">
        <f t="shared" ref="S37:S68" si="31">C37+E37+G37+I37+K37+M37+O37+Q37</f>
        <v>1201.92545960656</v>
      </c>
      <c r="T37" s="104">
        <f t="shared" ref="T37:T68" si="32">S37/SUM(V37+X37+Z37+AB37+AD37+AF37+AH37+AJ37)-1</f>
        <v>1.14241120111318</v>
      </c>
      <c r="U37" s="103"/>
      <c r="V37" s="103">
        <v>53.1552100602015</v>
      </c>
      <c r="W37" s="104">
        <f t="shared" ref="W37:W68" si="33">V37/AW37-1</f>
        <v>-0.24417312124281</v>
      </c>
      <c r="X37" s="103">
        <v>51.6243705763343</v>
      </c>
      <c r="Y37" s="104">
        <f t="shared" ref="Y37:Y68" si="34">X37/AY37-1</f>
        <v>0.0628390990597809</v>
      </c>
      <c r="Z37" s="103">
        <v>60.0820600140975</v>
      </c>
      <c r="AA37" s="104">
        <f t="shared" ref="AA37:AA68" si="35">Z37/BA37-1</f>
        <v>0.0372106152525196</v>
      </c>
      <c r="AB37" s="103">
        <v>68.2050452481122</v>
      </c>
      <c r="AC37" s="104">
        <f t="shared" ref="AC37:AC68" si="36">AB37/BC37-1</f>
        <v>0.11645632173658</v>
      </c>
      <c r="AD37" s="103">
        <v>77.259026329494</v>
      </c>
      <c r="AE37" s="104">
        <f t="shared" ref="AE37:AE68" si="37">AD37/BE37-1</f>
        <v>0.191514349280388</v>
      </c>
      <c r="AF37" s="103">
        <v>78.4055716787185</v>
      </c>
      <c r="AG37" s="104">
        <f t="shared" ref="AG37:AG68" si="38">AF37/BG37-1</f>
        <v>0.174512984780591</v>
      </c>
      <c r="AH37" s="103">
        <v>83.6085515930415</v>
      </c>
      <c r="AI37" s="104">
        <f t="shared" ref="AI37:AI68" si="39">AH37/BI37-1</f>
        <v>0.173603058200219</v>
      </c>
      <c r="AJ37" s="103">
        <v>88.6754630486858</v>
      </c>
      <c r="AK37" s="104">
        <f t="shared" ref="AK37:AK68" si="40">AJ37/BK37-1</f>
        <v>0.273839114208797</v>
      </c>
      <c r="AL37" s="103">
        <v>80.9506784864106</v>
      </c>
      <c r="AM37" s="104">
        <f t="shared" ref="AM37:AM68" si="41">AL37/BM37-1</f>
        <v>0.0516271827726034</v>
      </c>
      <c r="AN37" s="103">
        <v>141.05166032627</v>
      </c>
      <c r="AO37" s="104">
        <f t="shared" ref="AO37:AO68" si="42">AN37/BO37-1</f>
        <v>0.669699977589911</v>
      </c>
      <c r="AP37" s="103">
        <v>145.213710285107</v>
      </c>
      <c r="AQ37" s="104">
        <f t="shared" ref="AQ37:AQ68" si="43">AP37/BQ37-1</f>
        <v>0.788616463293656</v>
      </c>
      <c r="AR37" s="103">
        <v>155.16338653897</v>
      </c>
      <c r="AS37" s="104">
        <f t="shared" ref="AS37:AS68" si="44">AR37/BS37-1</f>
        <v>0.696460819915819</v>
      </c>
      <c r="AT37" s="103">
        <f t="shared" ref="AT37:AT68" si="45">V37+X37+Z37+AB37+AD37+AF37+AH37+AJ37+AL37+AN37+AP37+AR37</f>
        <v>1083.39473418544</v>
      </c>
      <c r="AU37" s="104">
        <f t="shared" ref="AU37:AU68" si="46">AT37/SUM(AW37,AY37,BA37,BC37,BE37,BG37,BI37,BK37,BM37,BO37,BQ37,BS37)-1</f>
        <v>0.282926047866048</v>
      </c>
      <c r="AV37" s="104"/>
      <c r="AW37" s="103">
        <v>70.3272290972304</v>
      </c>
      <c r="AX37" s="104"/>
      <c r="AY37" s="103">
        <v>48.5721409966972</v>
      </c>
      <c r="AZ37" s="104"/>
      <c r="BA37" s="103">
        <v>57.9265764643856</v>
      </c>
      <c r="BB37" s="104"/>
      <c r="BC37" s="103">
        <v>61.090652558645</v>
      </c>
      <c r="BD37" s="104"/>
      <c r="BE37" s="103">
        <v>64.8410372700542</v>
      </c>
      <c r="BF37" s="104"/>
      <c r="BG37" s="103">
        <v>66.7558151290812</v>
      </c>
      <c r="BH37" s="104"/>
      <c r="BI37" s="103">
        <v>71.2409114894942</v>
      </c>
      <c r="BJ37" s="104"/>
      <c r="BK37" s="103">
        <v>69.6127651126207</v>
      </c>
      <c r="BL37" s="104"/>
      <c r="BM37" s="103">
        <v>76.9765938086395</v>
      </c>
      <c r="BN37" s="104"/>
      <c r="BO37" s="103">
        <v>84.4772487389427</v>
      </c>
      <c r="BP37" s="104"/>
      <c r="BQ37" s="103">
        <v>81.1877298824045</v>
      </c>
      <c r="BR37" s="104"/>
      <c r="BS37" s="103">
        <v>91.462994439606</v>
      </c>
      <c r="BT37" s="104"/>
      <c r="BU37" s="103">
        <f t="shared" ref="BU37:BU68" si="47">AW37+AY37+BA37+BC37+BE37+BG37+BI37+BK37+BM37+BO37+BQ37+BS37</f>
        <v>844.471694987801</v>
      </c>
      <c r="BV37" s="104"/>
      <c r="BW37" s="162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146"/>
    </row>
    <row r="38" ht="28.8" customHeight="1" spans="1:88">
      <c r="A38" s="45"/>
      <c r="B38" s="141" t="s">
        <v>283</v>
      </c>
      <c r="C38" s="103">
        <v>747.650598958878</v>
      </c>
      <c r="D38" s="104">
        <f t="shared" si="24"/>
        <v>2.00813412397199</v>
      </c>
      <c r="E38" s="103">
        <v>619.242887184115</v>
      </c>
      <c r="F38" s="104">
        <f t="shared" si="25"/>
        <v>1.59027345567847</v>
      </c>
      <c r="G38" s="103">
        <v>800.277651078382</v>
      </c>
      <c r="H38" s="104">
        <f t="shared" si="26"/>
        <v>1.86447200611262</v>
      </c>
      <c r="I38" s="103">
        <v>833.423757205161</v>
      </c>
      <c r="J38" s="104">
        <f t="shared" si="27"/>
        <v>1.60756780975946</v>
      </c>
      <c r="K38" s="103">
        <v>907.864434323177</v>
      </c>
      <c r="L38" s="104">
        <f t="shared" si="28"/>
        <v>1.51489889493545</v>
      </c>
      <c r="M38" s="103">
        <v>877.566408633412</v>
      </c>
      <c r="N38" s="104">
        <f t="shared" si="29"/>
        <v>1.40247490389601</v>
      </c>
      <c r="O38" s="103">
        <v>948.73795826098</v>
      </c>
      <c r="P38" s="104">
        <f t="shared" si="30"/>
        <v>1.42782791494708</v>
      </c>
      <c r="Q38" s="127"/>
      <c r="R38" s="127"/>
      <c r="S38" s="103">
        <f t="shared" si="31"/>
        <v>5734.7636956441</v>
      </c>
      <c r="T38" s="104">
        <f t="shared" si="32"/>
        <v>1.18850472409718</v>
      </c>
      <c r="U38" s="103"/>
      <c r="V38" s="103">
        <v>248.542973200832</v>
      </c>
      <c r="W38" s="104">
        <f t="shared" si="33"/>
        <v>-0.224577215986334</v>
      </c>
      <c r="X38" s="103">
        <v>239.064677062027</v>
      </c>
      <c r="Y38" s="104">
        <f t="shared" si="34"/>
        <v>0.0631136426704091</v>
      </c>
      <c r="Z38" s="103">
        <v>279.380510394458</v>
      </c>
      <c r="AA38" s="104">
        <f t="shared" si="35"/>
        <v>0.0697199265613562</v>
      </c>
      <c r="AB38" s="103">
        <v>319.617290137526</v>
      </c>
      <c r="AC38" s="104">
        <f t="shared" si="36"/>
        <v>0.142237467510407</v>
      </c>
      <c r="AD38" s="103">
        <v>360.994406634577</v>
      </c>
      <c r="AE38" s="104">
        <f t="shared" si="37"/>
        <v>0.2137086388074</v>
      </c>
      <c r="AF38" s="103">
        <v>365.275994021954</v>
      </c>
      <c r="AG38" s="104">
        <f t="shared" si="38"/>
        <v>0.161908386327086</v>
      </c>
      <c r="AH38" s="103">
        <v>390.776443593886</v>
      </c>
      <c r="AI38" s="104">
        <f t="shared" si="39"/>
        <v>0.152092260100269</v>
      </c>
      <c r="AJ38" s="103">
        <v>416.750408453521</v>
      </c>
      <c r="AK38" s="104">
        <f t="shared" si="40"/>
        <v>0.230715903600627</v>
      </c>
      <c r="AL38" s="103">
        <v>377.360874584768</v>
      </c>
      <c r="AM38" s="104">
        <f t="shared" si="41"/>
        <v>0.026091074379577</v>
      </c>
      <c r="AN38" s="103">
        <v>670.638472765724</v>
      </c>
      <c r="AO38" s="104">
        <f t="shared" si="42"/>
        <v>0.658777693594277</v>
      </c>
      <c r="AP38" s="103">
        <v>689.626154291268</v>
      </c>
      <c r="AQ38" s="104">
        <f t="shared" si="43"/>
        <v>0.761974902179432</v>
      </c>
      <c r="AR38" s="103">
        <v>741.927546643684</v>
      </c>
      <c r="AS38" s="104">
        <f t="shared" si="44"/>
        <v>0.663933143772016</v>
      </c>
      <c r="AT38" s="103">
        <f t="shared" si="45"/>
        <v>5099.95575178422</v>
      </c>
      <c r="AU38" s="104">
        <f t="shared" si="46"/>
        <v>0.27967574803987</v>
      </c>
      <c r="AV38" s="104"/>
      <c r="AW38" s="103">
        <v>320.525754884772</v>
      </c>
      <c r="AX38" s="104"/>
      <c r="AY38" s="103">
        <v>224.872174964782</v>
      </c>
      <c r="AZ38" s="104"/>
      <c r="BA38" s="103">
        <v>261.171642649057</v>
      </c>
      <c r="BB38" s="104"/>
      <c r="BC38" s="103">
        <v>279.816850023451</v>
      </c>
      <c r="BD38" s="104"/>
      <c r="BE38" s="103">
        <v>297.430861981252</v>
      </c>
      <c r="BF38" s="104"/>
      <c r="BG38" s="103">
        <v>314.37589944301</v>
      </c>
      <c r="BH38" s="104"/>
      <c r="BI38" s="103">
        <v>339.188498289083</v>
      </c>
      <c r="BJ38" s="104"/>
      <c r="BK38" s="103">
        <v>338.624378895455</v>
      </c>
      <c r="BL38" s="104"/>
      <c r="BM38" s="103">
        <v>367.765478140367</v>
      </c>
      <c r="BN38" s="104"/>
      <c r="BO38" s="103">
        <v>404.296775484465</v>
      </c>
      <c r="BP38" s="104"/>
      <c r="BQ38" s="103">
        <v>391.393857788923</v>
      </c>
      <c r="BR38" s="104"/>
      <c r="BS38" s="103">
        <v>445.88783474905</v>
      </c>
      <c r="BT38" s="104"/>
      <c r="BU38" s="103">
        <f t="shared" si="47"/>
        <v>3985.35000729367</v>
      </c>
      <c r="BV38" s="104"/>
      <c r="BW38" s="162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165"/>
      <c r="CI38" s="165"/>
      <c r="CJ38" s="146"/>
    </row>
    <row r="39" ht="28.8" customHeight="1" spans="1:88">
      <c r="A39" s="45"/>
      <c r="B39" s="141" t="s">
        <v>284</v>
      </c>
      <c r="C39" s="103">
        <v>127.147646099469</v>
      </c>
      <c r="D39" s="104">
        <f t="shared" si="24"/>
        <v>1.95813661664631</v>
      </c>
      <c r="E39" s="103">
        <v>103.854436080331</v>
      </c>
      <c r="F39" s="104">
        <f t="shared" si="25"/>
        <v>1.5492308825528</v>
      </c>
      <c r="G39" s="103">
        <v>135.680151644112</v>
      </c>
      <c r="H39" s="104">
        <f t="shared" si="26"/>
        <v>1.87465095303552</v>
      </c>
      <c r="I39" s="103">
        <v>141.818633029024</v>
      </c>
      <c r="J39" s="104">
        <f t="shared" si="27"/>
        <v>1.66385281895989</v>
      </c>
      <c r="K39" s="103">
        <v>150.985766044168</v>
      </c>
      <c r="L39" s="104">
        <f t="shared" si="28"/>
        <v>1.6300946931017</v>
      </c>
      <c r="M39" s="103">
        <v>144.856212664028</v>
      </c>
      <c r="N39" s="104">
        <f t="shared" si="29"/>
        <v>1.41134046660181</v>
      </c>
      <c r="O39" s="103">
        <v>158.923177808734</v>
      </c>
      <c r="P39" s="104">
        <f t="shared" si="30"/>
        <v>1.52257694833781</v>
      </c>
      <c r="Q39" s="127"/>
      <c r="R39" s="127"/>
      <c r="S39" s="103">
        <f t="shared" si="31"/>
        <v>963.266023369866</v>
      </c>
      <c r="T39" s="104">
        <f t="shared" si="32"/>
        <v>1.23327642091157</v>
      </c>
      <c r="U39" s="103"/>
      <c r="V39" s="103">
        <v>42.9823441500205</v>
      </c>
      <c r="W39" s="104">
        <f t="shared" si="33"/>
        <v>-0.196875480508903</v>
      </c>
      <c r="X39" s="103">
        <v>40.7395174721605</v>
      </c>
      <c r="Y39" s="104">
        <f t="shared" si="34"/>
        <v>0.0533866614482217</v>
      </c>
      <c r="Z39" s="103">
        <v>47.1988265221692</v>
      </c>
      <c r="AA39" s="104">
        <f t="shared" si="35"/>
        <v>0.033378161412541</v>
      </c>
      <c r="AB39" s="103">
        <v>53.2381639179291</v>
      </c>
      <c r="AC39" s="104">
        <f t="shared" si="36"/>
        <v>0.0967232924397416</v>
      </c>
      <c r="AD39" s="103">
        <v>57.4069695818096</v>
      </c>
      <c r="AE39" s="104">
        <f t="shared" si="37"/>
        <v>0.120319531518849</v>
      </c>
      <c r="AF39" s="103">
        <v>60.0728991489813</v>
      </c>
      <c r="AG39" s="104">
        <f t="shared" si="38"/>
        <v>0.0933576431303065</v>
      </c>
      <c r="AH39" s="103">
        <v>63.0003290537687</v>
      </c>
      <c r="AI39" s="104">
        <f t="shared" si="39"/>
        <v>0.0808812105946364</v>
      </c>
      <c r="AJ39" s="103">
        <v>66.6850864536212</v>
      </c>
      <c r="AK39" s="104">
        <f t="shared" si="40"/>
        <v>0.16518417532125</v>
      </c>
      <c r="AL39" s="103">
        <v>60.4371121827535</v>
      </c>
      <c r="AM39" s="104">
        <f t="shared" si="41"/>
        <v>-0.0241309510794603</v>
      </c>
      <c r="AN39" s="103">
        <v>108.53914167092</v>
      </c>
      <c r="AO39" s="104">
        <f t="shared" si="42"/>
        <v>0.574597042269416</v>
      </c>
      <c r="AP39" s="103">
        <v>111.873575627714</v>
      </c>
      <c r="AQ39" s="104">
        <f t="shared" si="43"/>
        <v>0.684528099412223</v>
      </c>
      <c r="AR39" s="103">
        <v>118.927886737128</v>
      </c>
      <c r="AS39" s="104">
        <f t="shared" si="44"/>
        <v>0.579776430010735</v>
      </c>
      <c r="AT39" s="103">
        <f t="shared" si="45"/>
        <v>831.101852518976</v>
      </c>
      <c r="AU39" s="104">
        <f t="shared" si="46"/>
        <v>0.221004963971468</v>
      </c>
      <c r="AV39" s="104"/>
      <c r="AW39" s="103">
        <v>53.5189041137188</v>
      </c>
      <c r="AX39" s="104"/>
      <c r="AY39" s="103">
        <v>38.6747990677524</v>
      </c>
      <c r="AZ39" s="104"/>
      <c r="BA39" s="103">
        <v>45.6743022879953</v>
      </c>
      <c r="BB39" s="104"/>
      <c r="BC39" s="103">
        <v>48.542931735768</v>
      </c>
      <c r="BD39" s="104"/>
      <c r="BE39" s="103">
        <v>51.2416038163517</v>
      </c>
      <c r="BF39" s="104"/>
      <c r="BG39" s="103">
        <v>54.9435031861956</v>
      </c>
      <c r="BH39" s="104"/>
      <c r="BI39" s="103">
        <v>58.28608031692</v>
      </c>
      <c r="BJ39" s="104"/>
      <c r="BK39" s="103">
        <v>57.2313698263501</v>
      </c>
      <c r="BL39" s="104"/>
      <c r="BM39" s="103">
        <v>61.9315801127274</v>
      </c>
      <c r="BN39" s="104"/>
      <c r="BO39" s="103">
        <v>68.9313765726919</v>
      </c>
      <c r="BP39" s="104"/>
      <c r="BQ39" s="103">
        <v>66.4124128690698</v>
      </c>
      <c r="BR39" s="104"/>
      <c r="BS39" s="103">
        <v>75.2814667176164</v>
      </c>
      <c r="BT39" s="104"/>
      <c r="BU39" s="103">
        <f t="shared" si="47"/>
        <v>680.670330623157</v>
      </c>
      <c r="BV39" s="104"/>
      <c r="BW39" s="162"/>
      <c r="BX39" s="167"/>
      <c r="BY39" s="167"/>
      <c r="BZ39" s="167"/>
      <c r="CA39" s="167"/>
      <c r="CB39" s="167"/>
      <c r="CC39" s="167"/>
      <c r="CD39" s="167"/>
      <c r="CE39" s="167"/>
      <c r="CF39" s="167"/>
      <c r="CG39" s="167"/>
      <c r="CH39" s="167"/>
      <c r="CI39" s="167"/>
      <c r="CJ39" s="146"/>
    </row>
    <row r="40" ht="28.8" customHeight="1" spans="1:88">
      <c r="A40" s="29"/>
      <c r="B40" s="141" t="s">
        <v>276</v>
      </c>
      <c r="C40" s="103">
        <v>325.380447160581</v>
      </c>
      <c r="D40" s="104">
        <f t="shared" si="24"/>
        <v>2.22356102967651</v>
      </c>
      <c r="E40" s="103">
        <v>288.048023871721</v>
      </c>
      <c r="F40" s="104">
        <f t="shared" si="25"/>
        <v>2.14641145479354</v>
      </c>
      <c r="G40" s="103">
        <v>367.570619792229</v>
      </c>
      <c r="H40" s="104">
        <f t="shared" si="26"/>
        <v>2.43839006244557</v>
      </c>
      <c r="I40" s="103">
        <v>392.752732416405</v>
      </c>
      <c r="J40" s="104">
        <f t="shared" si="27"/>
        <v>2.15379239589869</v>
      </c>
      <c r="K40" s="103">
        <v>423.040000826009</v>
      </c>
      <c r="L40" s="104">
        <f t="shared" si="28"/>
        <v>2.17679497204862</v>
      </c>
      <c r="M40" s="103">
        <v>395.599240070287</v>
      </c>
      <c r="N40" s="104">
        <f t="shared" si="29"/>
        <v>1.77395215987034</v>
      </c>
      <c r="O40" s="103">
        <v>431.086470900875</v>
      </c>
      <c r="P40" s="104">
        <f t="shared" si="30"/>
        <v>1.91494633479654</v>
      </c>
      <c r="Q40" s="127"/>
      <c r="R40" s="127"/>
      <c r="S40" s="103">
        <f t="shared" si="31"/>
        <v>2623.47753503811</v>
      </c>
      <c r="T40" s="104">
        <f t="shared" si="32"/>
        <v>1.59719434771483</v>
      </c>
      <c r="U40" s="103"/>
      <c r="V40" s="103">
        <v>100.93819976265</v>
      </c>
      <c r="W40" s="104">
        <f t="shared" si="33"/>
        <v>-0.129805869198398</v>
      </c>
      <c r="X40" s="103">
        <v>91.5481106048229</v>
      </c>
      <c r="Y40" s="104">
        <f t="shared" si="34"/>
        <v>-0.0343966733325765</v>
      </c>
      <c r="Z40" s="103">
        <v>106.901955018679</v>
      </c>
      <c r="AA40" s="104">
        <f t="shared" si="35"/>
        <v>0.0997872732843603</v>
      </c>
      <c r="AB40" s="103">
        <v>124.533476879187</v>
      </c>
      <c r="AC40" s="104">
        <f t="shared" si="36"/>
        <v>0.201140217982366</v>
      </c>
      <c r="AD40" s="103">
        <v>133.165660531502</v>
      </c>
      <c r="AE40" s="104">
        <f t="shared" si="37"/>
        <v>0.2148998407276</v>
      </c>
      <c r="AF40" s="103">
        <v>142.612135058875</v>
      </c>
      <c r="AG40" s="104">
        <f t="shared" si="38"/>
        <v>0.0313942268376222</v>
      </c>
      <c r="AH40" s="103">
        <v>147.888304410573</v>
      </c>
      <c r="AI40" s="104">
        <f t="shared" si="39"/>
        <v>-0.00737244355808497</v>
      </c>
      <c r="AJ40" s="103">
        <v>162.531996222656</v>
      </c>
      <c r="AK40" s="104">
        <f t="shared" si="40"/>
        <v>0.0262578329512655</v>
      </c>
      <c r="AL40" s="103">
        <v>144.374801252704</v>
      </c>
      <c r="AM40" s="104">
        <f t="shared" si="41"/>
        <v>-0.107874994051826</v>
      </c>
      <c r="AN40" s="103">
        <v>284.587209759939</v>
      </c>
      <c r="AO40" s="104">
        <f t="shared" si="42"/>
        <v>0.585543230583011</v>
      </c>
      <c r="AP40" s="103">
        <v>295.610819815875</v>
      </c>
      <c r="AQ40" s="104">
        <f t="shared" si="43"/>
        <v>0.66543565550905</v>
      </c>
      <c r="AR40" s="103">
        <v>321.18782546119</v>
      </c>
      <c r="AS40" s="104">
        <f t="shared" si="44"/>
        <v>0.506322244839201</v>
      </c>
      <c r="AT40" s="103">
        <f t="shared" si="45"/>
        <v>2055.88049477865</v>
      </c>
      <c r="AU40" s="104">
        <f t="shared" si="46"/>
        <v>0.210072374822481</v>
      </c>
      <c r="AV40" s="104"/>
      <c r="AW40" s="103">
        <v>115.995036268135</v>
      </c>
      <c r="AX40" s="104"/>
      <c r="AY40" s="103">
        <v>94.8092328148681</v>
      </c>
      <c r="AZ40" s="104"/>
      <c r="BA40" s="103">
        <v>97.2023932404958</v>
      </c>
      <c r="BB40" s="104"/>
      <c r="BC40" s="103">
        <v>103.679383151764</v>
      </c>
      <c r="BD40" s="104"/>
      <c r="BE40" s="103">
        <v>109.61040249355</v>
      </c>
      <c r="BF40" s="104"/>
      <c r="BG40" s="103">
        <v>138.271217103998</v>
      </c>
      <c r="BH40" s="104"/>
      <c r="BI40" s="103">
        <v>148.98670045055</v>
      </c>
      <c r="BJ40" s="104"/>
      <c r="BK40" s="103">
        <v>158.373452561384</v>
      </c>
      <c r="BL40" s="104"/>
      <c r="BM40" s="103">
        <v>161.832478957653</v>
      </c>
      <c r="BN40" s="104"/>
      <c r="BO40" s="103">
        <v>179.488773481941</v>
      </c>
      <c r="BP40" s="104"/>
      <c r="BQ40" s="103">
        <v>177.497592799837</v>
      </c>
      <c r="BR40" s="104"/>
      <c r="BS40" s="103">
        <v>213.226503533098</v>
      </c>
      <c r="BT40" s="104"/>
      <c r="BU40" s="103">
        <f t="shared" si="47"/>
        <v>1698.97316685727</v>
      </c>
      <c r="BV40" s="104"/>
      <c r="BW40" s="162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46"/>
    </row>
    <row r="41" ht="28.8" customHeight="1" spans="1:88">
      <c r="A41" s="166" t="s">
        <v>101</v>
      </c>
      <c r="B41" s="141" t="s">
        <v>282</v>
      </c>
      <c r="C41" s="103">
        <v>177.960585876797</v>
      </c>
      <c r="D41" s="104">
        <f t="shared" si="24"/>
        <v>1.90961617309015</v>
      </c>
      <c r="E41" s="103">
        <v>185.916735792595</v>
      </c>
      <c r="F41" s="104">
        <f t="shared" si="25"/>
        <v>0.94004836025892</v>
      </c>
      <c r="G41" s="103">
        <v>218.998950110263</v>
      </c>
      <c r="H41" s="104">
        <f t="shared" si="26"/>
        <v>1.11623080014076</v>
      </c>
      <c r="I41" s="103">
        <v>218.211293950887</v>
      </c>
      <c r="J41" s="104">
        <f t="shared" si="27"/>
        <v>0.532198204766039</v>
      </c>
      <c r="K41" s="103">
        <v>222.853705871439</v>
      </c>
      <c r="L41" s="104">
        <f t="shared" si="28"/>
        <v>0.51145857157244</v>
      </c>
      <c r="M41" s="103">
        <v>234.260031939009</v>
      </c>
      <c r="N41" s="104">
        <f t="shared" si="29"/>
        <v>0.677459216710605</v>
      </c>
      <c r="O41" s="103">
        <v>256.809917442156</v>
      </c>
      <c r="P41" s="104">
        <f t="shared" si="30"/>
        <v>0.759877180468661</v>
      </c>
      <c r="Q41" s="127"/>
      <c r="R41" s="127"/>
      <c r="S41" s="103">
        <f t="shared" si="31"/>
        <v>1515.01122098315</v>
      </c>
      <c r="T41" s="104">
        <f t="shared" si="32"/>
        <v>0.548358867681411</v>
      </c>
      <c r="U41" s="103"/>
      <c r="V41" s="103">
        <v>61.1629078511049</v>
      </c>
      <c r="W41" s="104">
        <f t="shared" si="33"/>
        <v>-0.370682935683358</v>
      </c>
      <c r="X41" s="103">
        <v>95.8309800936006</v>
      </c>
      <c r="Y41" s="104">
        <f t="shared" si="34"/>
        <v>0.386145517952353</v>
      </c>
      <c r="Z41" s="103">
        <v>103.485380751332</v>
      </c>
      <c r="AA41" s="104">
        <f t="shared" si="35"/>
        <v>0.180113848248479</v>
      </c>
      <c r="AB41" s="103">
        <v>142.417145035232</v>
      </c>
      <c r="AC41" s="104">
        <f t="shared" si="36"/>
        <v>0.538465273068159</v>
      </c>
      <c r="AD41" s="103">
        <v>147.442814552035</v>
      </c>
      <c r="AE41" s="104">
        <f t="shared" si="37"/>
        <v>0.576289864208523</v>
      </c>
      <c r="AF41" s="103">
        <v>139.651700384334</v>
      </c>
      <c r="AG41" s="104">
        <f t="shared" si="38"/>
        <v>0.251116084802232</v>
      </c>
      <c r="AH41" s="103">
        <v>145.924909017666</v>
      </c>
      <c r="AI41" s="104">
        <f t="shared" si="39"/>
        <v>0.222226676383484</v>
      </c>
      <c r="AJ41" s="103">
        <v>142.546747833903</v>
      </c>
      <c r="AK41" s="104">
        <f t="shared" si="40"/>
        <v>0.15533365796977</v>
      </c>
      <c r="AL41" s="103">
        <v>128.90593767142</v>
      </c>
      <c r="AM41" s="104">
        <f t="shared" si="41"/>
        <v>0.164824366752194</v>
      </c>
      <c r="AN41" s="103">
        <v>155.450535671742</v>
      </c>
      <c r="AO41" s="104">
        <f t="shared" si="42"/>
        <v>0.297598679896235</v>
      </c>
      <c r="AP41" s="103">
        <v>133.315139923297</v>
      </c>
      <c r="AQ41" s="104">
        <f t="shared" si="43"/>
        <v>0.165100822861546</v>
      </c>
      <c r="AR41" s="103">
        <v>167.680020189211</v>
      </c>
      <c r="AS41" s="104">
        <f t="shared" si="44"/>
        <v>0.304603717491439</v>
      </c>
      <c r="AT41" s="103">
        <f t="shared" si="45"/>
        <v>1563.81421897488</v>
      </c>
      <c r="AU41" s="104">
        <f t="shared" si="46"/>
        <v>0.233353073807374</v>
      </c>
      <c r="AV41" s="104"/>
      <c r="AW41" s="103">
        <v>97.1893363761239</v>
      </c>
      <c r="AX41" s="104"/>
      <c r="AY41" s="103">
        <v>69.1348627200154</v>
      </c>
      <c r="AZ41" s="104"/>
      <c r="BA41" s="103">
        <v>87.6910146465315</v>
      </c>
      <c r="BB41" s="104"/>
      <c r="BC41" s="103">
        <v>92.5709195575209</v>
      </c>
      <c r="BD41" s="104"/>
      <c r="BE41" s="103">
        <v>93.5378815152555</v>
      </c>
      <c r="BF41" s="104"/>
      <c r="BG41" s="103">
        <v>111.621696883874</v>
      </c>
      <c r="BH41" s="104"/>
      <c r="BI41" s="103">
        <v>119.392672273732</v>
      </c>
      <c r="BJ41" s="104"/>
      <c r="BK41" s="103">
        <v>123.381455089256</v>
      </c>
      <c r="BL41" s="104"/>
      <c r="BM41" s="103">
        <v>110.665557272673</v>
      </c>
      <c r="BN41" s="104"/>
      <c r="BO41" s="103">
        <v>119.798623472839</v>
      </c>
      <c r="BP41" s="104"/>
      <c r="BQ41" s="103">
        <v>114.423693904763</v>
      </c>
      <c r="BR41" s="104"/>
      <c r="BS41" s="103">
        <v>128.529466795967</v>
      </c>
      <c r="BT41" s="104"/>
      <c r="BU41" s="103">
        <f t="shared" si="47"/>
        <v>1267.93718050855</v>
      </c>
      <c r="BV41" s="104"/>
      <c r="BW41" s="162"/>
      <c r="BX41" s="163"/>
      <c r="BY41" s="163"/>
      <c r="BZ41" s="163"/>
      <c r="CA41" s="163"/>
      <c r="CB41" s="163"/>
      <c r="CC41" s="163"/>
      <c r="CD41" s="163"/>
      <c r="CE41" s="163"/>
      <c r="CF41" s="163"/>
      <c r="CG41" s="163"/>
      <c r="CH41" s="163"/>
      <c r="CI41" s="163"/>
      <c r="CJ41" s="146"/>
    </row>
    <row r="42" ht="28.8" customHeight="1" spans="1:88">
      <c r="A42" s="45"/>
      <c r="B42" s="141" t="s">
        <v>283</v>
      </c>
      <c r="C42" s="103">
        <v>780.795949350907</v>
      </c>
      <c r="D42" s="104">
        <f t="shared" si="24"/>
        <v>1.83940351479191</v>
      </c>
      <c r="E42" s="103">
        <v>845.27292037029</v>
      </c>
      <c r="F42" s="104">
        <f t="shared" si="25"/>
        <v>0.980905342052899</v>
      </c>
      <c r="G42" s="103">
        <v>948.898109802916</v>
      </c>
      <c r="H42" s="104">
        <f t="shared" si="26"/>
        <v>1.05079678189818</v>
      </c>
      <c r="I42" s="103">
        <v>983.80394831681</v>
      </c>
      <c r="J42" s="104">
        <f t="shared" si="27"/>
        <v>0.533083683107211</v>
      </c>
      <c r="K42" s="103">
        <v>1016.63179436058</v>
      </c>
      <c r="L42" s="104">
        <f t="shared" si="28"/>
        <v>0.534695332267052</v>
      </c>
      <c r="M42" s="103">
        <v>1046.07750403384</v>
      </c>
      <c r="N42" s="104">
        <f t="shared" si="29"/>
        <v>0.672155911162556</v>
      </c>
      <c r="O42" s="103">
        <v>1145.23263685913</v>
      </c>
      <c r="P42" s="104">
        <f t="shared" si="30"/>
        <v>0.647456979994858</v>
      </c>
      <c r="Q42" s="127"/>
      <c r="R42" s="127"/>
      <c r="S42" s="103">
        <f t="shared" si="31"/>
        <v>6766.71286309447</v>
      </c>
      <c r="T42" s="104">
        <f t="shared" si="32"/>
        <v>0.512226056845577</v>
      </c>
      <c r="U42" s="103"/>
      <c r="V42" s="103">
        <v>274.985906470616</v>
      </c>
      <c r="W42" s="104">
        <f t="shared" si="33"/>
        <v>-0.354366980382971</v>
      </c>
      <c r="X42" s="103">
        <v>426.710404796171</v>
      </c>
      <c r="Y42" s="104">
        <f t="shared" si="34"/>
        <v>0.386503575343813</v>
      </c>
      <c r="Z42" s="103">
        <v>462.697288282574</v>
      </c>
      <c r="AA42" s="104">
        <f t="shared" si="35"/>
        <v>0.217102178206167</v>
      </c>
      <c r="AB42" s="103">
        <v>641.715751825669</v>
      </c>
      <c r="AC42" s="104">
        <f t="shared" si="36"/>
        <v>0.57399142550308</v>
      </c>
      <c r="AD42" s="103">
        <v>662.432323201773</v>
      </c>
      <c r="AE42" s="104">
        <f t="shared" si="37"/>
        <v>0.605651351668463</v>
      </c>
      <c r="AF42" s="103">
        <v>625.586105368943</v>
      </c>
      <c r="AG42" s="104">
        <f t="shared" si="38"/>
        <v>0.237689399808542</v>
      </c>
      <c r="AH42" s="103">
        <v>695.151770738623</v>
      </c>
      <c r="AI42" s="104">
        <f t="shared" si="39"/>
        <v>0.271814142914259</v>
      </c>
      <c r="AJ42" s="103">
        <v>685.39064327425</v>
      </c>
      <c r="AK42" s="104">
        <f t="shared" si="40"/>
        <v>0.187660427749683</v>
      </c>
      <c r="AL42" s="103">
        <v>584.731475575481</v>
      </c>
      <c r="AM42" s="104">
        <f t="shared" si="41"/>
        <v>0.150178025435416</v>
      </c>
      <c r="AN42" s="103">
        <v>707.829214665007</v>
      </c>
      <c r="AO42" s="104">
        <f t="shared" si="42"/>
        <v>0.283954041588903</v>
      </c>
      <c r="AP42" s="103">
        <v>608.768588469204</v>
      </c>
      <c r="AQ42" s="104">
        <f t="shared" si="43"/>
        <v>0.147746568658085</v>
      </c>
      <c r="AR42" s="103">
        <v>772.481248715832</v>
      </c>
      <c r="AS42" s="104">
        <f t="shared" si="44"/>
        <v>0.282148627434949</v>
      </c>
      <c r="AT42" s="103">
        <f t="shared" si="45"/>
        <v>7148.48072138414</v>
      </c>
      <c r="AU42" s="104">
        <f t="shared" si="46"/>
        <v>0.241963399255101</v>
      </c>
      <c r="AV42" s="104"/>
      <c r="AW42" s="103">
        <v>425.916733059486</v>
      </c>
      <c r="AX42" s="104"/>
      <c r="AY42" s="103">
        <v>307.760046482649</v>
      </c>
      <c r="AZ42" s="104"/>
      <c r="BA42" s="103">
        <v>380.163059903913</v>
      </c>
      <c r="BB42" s="104"/>
      <c r="BC42" s="103">
        <v>407.699649075638</v>
      </c>
      <c r="BD42" s="104"/>
      <c r="BE42" s="103">
        <v>412.56299041098</v>
      </c>
      <c r="BF42" s="104"/>
      <c r="BG42" s="103">
        <v>505.446766745934</v>
      </c>
      <c r="BH42" s="104"/>
      <c r="BI42" s="103">
        <v>546.582827853871</v>
      </c>
      <c r="BJ42" s="104"/>
      <c r="BK42" s="103">
        <v>577.093104443071</v>
      </c>
      <c r="BL42" s="104"/>
      <c r="BM42" s="103">
        <v>508.383452513034</v>
      </c>
      <c r="BN42" s="104"/>
      <c r="BO42" s="103">
        <v>551.288591131395</v>
      </c>
      <c r="BP42" s="104"/>
      <c r="BQ42" s="103">
        <v>530.403318200254</v>
      </c>
      <c r="BR42" s="104"/>
      <c r="BS42" s="103">
        <v>602.489627322886</v>
      </c>
      <c r="BT42" s="104"/>
      <c r="BU42" s="103">
        <f t="shared" si="47"/>
        <v>5755.79016714311</v>
      </c>
      <c r="BV42" s="104"/>
      <c r="BW42" s="162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65"/>
      <c r="CI42" s="165"/>
      <c r="CJ42" s="146"/>
    </row>
    <row r="43" ht="28.8" customHeight="1" spans="1:88">
      <c r="A43" s="45"/>
      <c r="B43" s="141" t="s">
        <v>284</v>
      </c>
      <c r="C43" s="103">
        <v>144.547188336343</v>
      </c>
      <c r="D43" s="104">
        <f t="shared" si="24"/>
        <v>1.43648393149495</v>
      </c>
      <c r="E43" s="103">
        <v>152.260464713713</v>
      </c>
      <c r="F43" s="104">
        <f t="shared" si="25"/>
        <v>0.671610093271847</v>
      </c>
      <c r="G43" s="103">
        <v>182.519714291107</v>
      </c>
      <c r="H43" s="104">
        <f t="shared" si="26"/>
        <v>0.871676029284623</v>
      </c>
      <c r="I43" s="103">
        <v>182.861813843693</v>
      </c>
      <c r="J43" s="104">
        <f t="shared" si="27"/>
        <v>0.371325230528945</v>
      </c>
      <c r="K43" s="103">
        <v>184.414373679325</v>
      </c>
      <c r="L43" s="104">
        <f t="shared" si="28"/>
        <v>0.322209966598903</v>
      </c>
      <c r="M43" s="103">
        <v>192.837723162843</v>
      </c>
      <c r="N43" s="104">
        <f t="shared" si="29"/>
        <v>0.446275415529603</v>
      </c>
      <c r="O43" s="103">
        <v>212.17481874449</v>
      </c>
      <c r="P43" s="104">
        <f t="shared" si="30"/>
        <v>0.753871386039042</v>
      </c>
      <c r="Q43" s="127"/>
      <c r="R43" s="127"/>
      <c r="S43" s="103">
        <f t="shared" si="31"/>
        <v>1251.61609677151</v>
      </c>
      <c r="T43" s="104">
        <f t="shared" si="32"/>
        <v>0.415470169658369</v>
      </c>
      <c r="U43" s="103"/>
      <c r="V43" s="103">
        <v>59.3261406192214</v>
      </c>
      <c r="W43" s="104">
        <f t="shared" si="33"/>
        <v>-0.363768329006148</v>
      </c>
      <c r="X43" s="103">
        <v>91.0861123216199</v>
      </c>
      <c r="Y43" s="104">
        <f t="shared" si="34"/>
        <v>0.368842504900754</v>
      </c>
      <c r="Z43" s="103">
        <v>97.5167237467203</v>
      </c>
      <c r="AA43" s="104">
        <f t="shared" si="35"/>
        <v>0.16900361867578</v>
      </c>
      <c r="AB43" s="103">
        <v>133.346787306728</v>
      </c>
      <c r="AC43" s="104">
        <f t="shared" si="36"/>
        <v>0.514758711715155</v>
      </c>
      <c r="AD43" s="103">
        <v>139.474348505851</v>
      </c>
      <c r="AE43" s="104">
        <f t="shared" si="37"/>
        <v>0.576615499620046</v>
      </c>
      <c r="AF43" s="103">
        <v>133.334025519772</v>
      </c>
      <c r="AG43" s="104">
        <f t="shared" si="38"/>
        <v>0.229814873779087</v>
      </c>
      <c r="AH43" s="103">
        <v>120.975129894597</v>
      </c>
      <c r="AI43" s="104">
        <f t="shared" si="39"/>
        <v>0.0426284199341047</v>
      </c>
      <c r="AJ43" s="103">
        <v>109.181264737336</v>
      </c>
      <c r="AK43" s="104">
        <f t="shared" si="40"/>
        <v>-0.102494944350281</v>
      </c>
      <c r="AL43" s="103">
        <v>97.5224807357636</v>
      </c>
      <c r="AM43" s="104">
        <f t="shared" si="41"/>
        <v>-0.0931459983320861</v>
      </c>
      <c r="AN43" s="103">
        <v>129.44178375195</v>
      </c>
      <c r="AO43" s="104">
        <f t="shared" si="42"/>
        <v>0.112135642213339</v>
      </c>
      <c r="AP43" s="103">
        <v>109.048043801366</v>
      </c>
      <c r="AQ43" s="104">
        <f t="shared" si="43"/>
        <v>-0.0227360314858399</v>
      </c>
      <c r="AR43" s="103">
        <v>136.692986384012</v>
      </c>
      <c r="AS43" s="104">
        <f t="shared" si="44"/>
        <v>0.0857122822466443</v>
      </c>
      <c r="AT43" s="103">
        <f t="shared" si="45"/>
        <v>1356.94582732494</v>
      </c>
      <c r="AU43" s="104">
        <f t="shared" si="46"/>
        <v>0.105710326941888</v>
      </c>
      <c r="AV43" s="104"/>
      <c r="AW43" s="103">
        <v>93.2461292386601</v>
      </c>
      <c r="AX43" s="104"/>
      <c r="AY43" s="103">
        <v>66.5424342066467</v>
      </c>
      <c r="AZ43" s="104"/>
      <c r="BA43" s="103">
        <v>83.41866713568</v>
      </c>
      <c r="BB43" s="104"/>
      <c r="BC43" s="103">
        <v>88.0317018647412</v>
      </c>
      <c r="BD43" s="104"/>
      <c r="BE43" s="103">
        <v>88.4644027281626</v>
      </c>
      <c r="BF43" s="104"/>
      <c r="BG43" s="103">
        <v>108.417964656787</v>
      </c>
      <c r="BH43" s="104"/>
      <c r="BI43" s="103">
        <v>116.028997082434</v>
      </c>
      <c r="BJ43" s="104"/>
      <c r="BK43" s="103">
        <v>121.649748990325</v>
      </c>
      <c r="BL43" s="104"/>
      <c r="BM43" s="103">
        <v>107.539339911824</v>
      </c>
      <c r="BN43" s="104"/>
      <c r="BO43" s="103">
        <v>116.390284456974</v>
      </c>
      <c r="BP43" s="104"/>
      <c r="BQ43" s="103">
        <v>111.585044895458</v>
      </c>
      <c r="BR43" s="104"/>
      <c r="BS43" s="103">
        <v>125.901667153618</v>
      </c>
      <c r="BT43" s="104"/>
      <c r="BU43" s="103">
        <f t="shared" si="47"/>
        <v>1227.21638232131</v>
      </c>
      <c r="BV43" s="104"/>
      <c r="BW43" s="162"/>
      <c r="BX43" s="165"/>
      <c r="BY43" s="165"/>
      <c r="BZ43" s="165"/>
      <c r="CA43" s="165"/>
      <c r="CB43" s="165"/>
      <c r="CC43" s="165"/>
      <c r="CD43" s="165"/>
      <c r="CE43" s="165"/>
      <c r="CF43" s="165"/>
      <c r="CG43" s="165"/>
      <c r="CH43" s="165"/>
      <c r="CI43" s="165"/>
      <c r="CJ43" s="146"/>
    </row>
    <row r="44" ht="28.8" customHeight="1" spans="1:88">
      <c r="A44" s="29"/>
      <c r="B44" s="141" t="s">
        <v>276</v>
      </c>
      <c r="C44" s="103">
        <v>392.754401240148</v>
      </c>
      <c r="D44" s="104">
        <f t="shared" si="24"/>
        <v>1.39622961719862</v>
      </c>
      <c r="E44" s="103">
        <v>452.115572335836</v>
      </c>
      <c r="F44" s="104">
        <f t="shared" si="25"/>
        <v>0.877511995907731</v>
      </c>
      <c r="G44" s="103">
        <v>532.275429334412</v>
      </c>
      <c r="H44" s="104">
        <f t="shared" si="26"/>
        <v>1.04843315358302</v>
      </c>
      <c r="I44" s="103">
        <v>586.84883705636</v>
      </c>
      <c r="J44" s="104">
        <f t="shared" si="27"/>
        <v>0.599188186284387</v>
      </c>
      <c r="K44" s="103">
        <v>598.766508261417</v>
      </c>
      <c r="L44" s="104">
        <f t="shared" si="28"/>
        <v>0.573093217946651</v>
      </c>
      <c r="M44" s="103">
        <v>588.592870375518</v>
      </c>
      <c r="N44" s="104">
        <f t="shared" si="29"/>
        <v>0.580574756999377</v>
      </c>
      <c r="O44" s="103">
        <v>651.707629115882</v>
      </c>
      <c r="P44" s="104">
        <f t="shared" si="30"/>
        <v>0.950673669385956</v>
      </c>
      <c r="Q44" s="127"/>
      <c r="R44" s="127"/>
      <c r="S44" s="103">
        <f t="shared" si="31"/>
        <v>3803.06124771957</v>
      </c>
      <c r="T44" s="104">
        <f t="shared" si="32"/>
        <v>0.563947468217454</v>
      </c>
      <c r="U44" s="103"/>
      <c r="V44" s="103">
        <v>163.905161016793</v>
      </c>
      <c r="W44" s="104">
        <f t="shared" si="33"/>
        <v>-0.310636081339207</v>
      </c>
      <c r="X44" s="103">
        <v>240.805690361115</v>
      </c>
      <c r="Y44" s="104">
        <f t="shared" si="34"/>
        <v>0.254770849859393</v>
      </c>
      <c r="Z44" s="103">
        <v>259.845154528661</v>
      </c>
      <c r="AA44" s="104">
        <f t="shared" si="35"/>
        <v>0.244128577756669</v>
      </c>
      <c r="AB44" s="103">
        <v>366.966716043511</v>
      </c>
      <c r="AC44" s="104">
        <f t="shared" si="36"/>
        <v>0.658975989406379</v>
      </c>
      <c r="AD44" s="103">
        <v>380.630023338975</v>
      </c>
      <c r="AE44" s="104">
        <f t="shared" si="37"/>
        <v>0.709717509593214</v>
      </c>
      <c r="AF44" s="103">
        <v>372.391668137814</v>
      </c>
      <c r="AG44" s="104">
        <f t="shared" si="38"/>
        <v>0.160118071945122</v>
      </c>
      <c r="AH44" s="103">
        <v>334.093620754634</v>
      </c>
      <c r="AI44" s="104">
        <f t="shared" si="39"/>
        <v>-0.042501904361235</v>
      </c>
      <c r="AJ44" s="103">
        <v>313.068480906374</v>
      </c>
      <c r="AK44" s="104">
        <f t="shared" si="40"/>
        <v>-0.209505576043425</v>
      </c>
      <c r="AL44" s="103">
        <v>255.577342297989</v>
      </c>
      <c r="AM44" s="104">
        <f t="shared" si="41"/>
        <v>-0.226927218276415</v>
      </c>
      <c r="AN44" s="103">
        <v>354.366712687625</v>
      </c>
      <c r="AO44" s="104">
        <f t="shared" si="42"/>
        <v>-0.0061181090444189</v>
      </c>
      <c r="AP44" s="103">
        <v>309.33184618538</v>
      </c>
      <c r="AQ44" s="104">
        <f t="shared" si="43"/>
        <v>-0.11835376272424</v>
      </c>
      <c r="AR44" s="103">
        <v>402.825168688692</v>
      </c>
      <c r="AS44" s="104">
        <f t="shared" si="44"/>
        <v>-0.0398238176839275</v>
      </c>
      <c r="AT44" s="103">
        <f t="shared" si="45"/>
        <v>3753.80758494756</v>
      </c>
      <c r="AU44" s="104">
        <f t="shared" si="46"/>
        <v>0.0410306511525196</v>
      </c>
      <c r="AV44" s="104"/>
      <c r="AW44" s="103">
        <v>237.762895010819</v>
      </c>
      <c r="AX44" s="104"/>
      <c r="AY44" s="103">
        <v>191.912085292784</v>
      </c>
      <c r="AZ44" s="104"/>
      <c r="BA44" s="103">
        <v>208.857154456814</v>
      </c>
      <c r="BB44" s="104"/>
      <c r="BC44" s="103">
        <v>221.200739725486</v>
      </c>
      <c r="BD44" s="104"/>
      <c r="BE44" s="103">
        <v>222.627434768178</v>
      </c>
      <c r="BF44" s="104"/>
      <c r="BG44" s="103">
        <v>320.994627308443</v>
      </c>
      <c r="BH44" s="104"/>
      <c r="BI44" s="103">
        <v>348.923535489388</v>
      </c>
      <c r="BJ44" s="104"/>
      <c r="BK44" s="103">
        <v>396.041352625116</v>
      </c>
      <c r="BL44" s="104"/>
      <c r="BM44" s="103">
        <v>330.599328213539</v>
      </c>
      <c r="BN44" s="104"/>
      <c r="BO44" s="103">
        <v>356.548112922064</v>
      </c>
      <c r="BP44" s="104"/>
      <c r="BQ44" s="103">
        <v>350.85710470585</v>
      </c>
      <c r="BR44" s="104"/>
      <c r="BS44" s="103">
        <v>419.53255674081</v>
      </c>
      <c r="BT44" s="104"/>
      <c r="BU44" s="103">
        <f t="shared" si="47"/>
        <v>3605.85692725929</v>
      </c>
      <c r="BV44" s="104"/>
      <c r="BW44" s="162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65"/>
      <c r="CI44" s="165"/>
      <c r="CJ44" s="146"/>
    </row>
    <row r="45" ht="28.8" customHeight="1" spans="1:88">
      <c r="A45" s="166" t="s">
        <v>102</v>
      </c>
      <c r="B45" s="141" t="s">
        <v>282</v>
      </c>
      <c r="C45" s="103">
        <v>141.626283015408</v>
      </c>
      <c r="D45" s="104">
        <f t="shared" si="24"/>
        <v>1.75444141553079</v>
      </c>
      <c r="E45" s="103">
        <v>158.753345375567</v>
      </c>
      <c r="F45" s="104">
        <f t="shared" si="25"/>
        <v>1.86187505628875</v>
      </c>
      <c r="G45" s="103">
        <v>160.677518836719</v>
      </c>
      <c r="H45" s="104">
        <f t="shared" si="26"/>
        <v>1.86085996800837</v>
      </c>
      <c r="I45" s="103">
        <v>160.679757248665</v>
      </c>
      <c r="J45" s="104">
        <f t="shared" si="27"/>
        <v>1.40166079048749</v>
      </c>
      <c r="K45" s="103">
        <v>169.337528686059</v>
      </c>
      <c r="L45" s="104">
        <f t="shared" si="28"/>
        <v>1.22647366249084</v>
      </c>
      <c r="M45" s="103">
        <v>171.118960856776</v>
      </c>
      <c r="N45" s="104">
        <f t="shared" si="29"/>
        <v>1.04476312011033</v>
      </c>
      <c r="O45" s="103">
        <v>183.744188195329</v>
      </c>
      <c r="P45" s="104">
        <f t="shared" si="30"/>
        <v>1.15389807090957</v>
      </c>
      <c r="Q45" s="127"/>
      <c r="R45" s="127"/>
      <c r="S45" s="103">
        <f t="shared" si="31"/>
        <v>1145.93758221452</v>
      </c>
      <c r="T45" s="104">
        <f t="shared" si="32"/>
        <v>1.02506264381753</v>
      </c>
      <c r="U45" s="103"/>
      <c r="V45" s="103">
        <v>51.4174243158176</v>
      </c>
      <c r="W45" s="104">
        <f t="shared" si="33"/>
        <v>-0.459389388044354</v>
      </c>
      <c r="X45" s="103">
        <v>55.4717946287413</v>
      </c>
      <c r="Y45" s="104">
        <f t="shared" si="34"/>
        <v>-0.362161185336914</v>
      </c>
      <c r="Z45" s="103">
        <v>56.164062776053</v>
      </c>
      <c r="AA45" s="104">
        <f t="shared" si="35"/>
        <v>-0.284522012274188</v>
      </c>
      <c r="AB45" s="103">
        <v>66.9036018263221</v>
      </c>
      <c r="AC45" s="104">
        <f t="shared" si="36"/>
        <v>-0.201680767497516</v>
      </c>
      <c r="AD45" s="103">
        <v>76.0563807867436</v>
      </c>
      <c r="AE45" s="104">
        <f t="shared" si="37"/>
        <v>-0.0791634106614997</v>
      </c>
      <c r="AF45" s="103">
        <v>83.6864471849156</v>
      </c>
      <c r="AG45" s="104">
        <f t="shared" si="38"/>
        <v>-0.135983343581489</v>
      </c>
      <c r="AH45" s="103">
        <v>85.3077453742906</v>
      </c>
      <c r="AI45" s="104">
        <f t="shared" si="39"/>
        <v>-0.131221542720109</v>
      </c>
      <c r="AJ45" s="103">
        <v>90.8701398881559</v>
      </c>
      <c r="AK45" s="104">
        <f t="shared" si="40"/>
        <v>-0.153077496844801</v>
      </c>
      <c r="AL45" s="103">
        <v>79.5682578301045</v>
      </c>
      <c r="AM45" s="104">
        <f t="shared" si="41"/>
        <v>-0.176908428320219</v>
      </c>
      <c r="AN45" s="103">
        <v>99.9403404712655</v>
      </c>
      <c r="AO45" s="104">
        <f t="shared" si="42"/>
        <v>-0.0331680503551218</v>
      </c>
      <c r="AP45" s="103">
        <v>92.2983505158658</v>
      </c>
      <c r="AQ45" s="104">
        <f t="shared" si="43"/>
        <v>-0.0915802533410103</v>
      </c>
      <c r="AR45" s="103">
        <v>112.942517986031</v>
      </c>
      <c r="AS45" s="104">
        <f t="shared" si="44"/>
        <v>-0.0697599137150051</v>
      </c>
      <c r="AT45" s="103">
        <f t="shared" si="45"/>
        <v>950.627063584306</v>
      </c>
      <c r="AU45" s="104">
        <f t="shared" si="46"/>
        <v>-0.175072417663627</v>
      </c>
      <c r="AV45" s="104"/>
      <c r="AW45" s="103">
        <v>95.1099056857509</v>
      </c>
      <c r="AX45" s="104"/>
      <c r="AY45" s="103">
        <v>86.9683583901086</v>
      </c>
      <c r="AZ45" s="104"/>
      <c r="BA45" s="103">
        <v>78.4986592733254</v>
      </c>
      <c r="BB45" s="104"/>
      <c r="BC45" s="103">
        <v>83.805574389834</v>
      </c>
      <c r="BD45" s="104"/>
      <c r="BE45" s="103">
        <v>82.5948726053339</v>
      </c>
      <c r="BF45" s="104"/>
      <c r="BG45" s="103">
        <v>96.8574466281813</v>
      </c>
      <c r="BH45" s="104"/>
      <c r="BI45" s="103">
        <v>98.1927494396967</v>
      </c>
      <c r="BJ45" s="104"/>
      <c r="BK45" s="103">
        <v>107.294515790548</v>
      </c>
      <c r="BL45" s="104"/>
      <c r="BM45" s="103">
        <v>96.6699946492224</v>
      </c>
      <c r="BN45" s="104"/>
      <c r="BO45" s="103">
        <v>103.368884849093</v>
      </c>
      <c r="BP45" s="104"/>
      <c r="BQ45" s="103">
        <v>101.603197041151</v>
      </c>
      <c r="BR45" s="104"/>
      <c r="BS45" s="103">
        <v>121.412224275432</v>
      </c>
      <c r="BT45" s="104"/>
      <c r="BU45" s="103">
        <f t="shared" si="47"/>
        <v>1152.37638301768</v>
      </c>
      <c r="BV45" s="104"/>
      <c r="BW45" s="162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146"/>
    </row>
    <row r="46" ht="28.8" customHeight="1" spans="1:88">
      <c r="A46" s="45"/>
      <c r="B46" s="141" t="s">
        <v>283</v>
      </c>
      <c r="C46" s="103">
        <v>690.422717013001</v>
      </c>
      <c r="D46" s="104">
        <f t="shared" si="24"/>
        <v>1.40857824121452</v>
      </c>
      <c r="E46" s="103">
        <v>806.861406172074</v>
      </c>
      <c r="F46" s="104">
        <f t="shared" si="25"/>
        <v>1.76832717625599</v>
      </c>
      <c r="G46" s="103">
        <v>793.136768733874</v>
      </c>
      <c r="H46" s="104">
        <f t="shared" si="26"/>
        <v>1.72278673399684</v>
      </c>
      <c r="I46" s="103">
        <v>829.605593225306</v>
      </c>
      <c r="J46" s="104">
        <f t="shared" si="27"/>
        <v>1.3723772938735</v>
      </c>
      <c r="K46" s="103">
        <v>877.48187075082</v>
      </c>
      <c r="L46" s="104">
        <f t="shared" si="28"/>
        <v>1.21373996230928</v>
      </c>
      <c r="M46" s="103">
        <v>880.472014264281</v>
      </c>
      <c r="N46" s="104">
        <f t="shared" si="29"/>
        <v>1.17468222145297</v>
      </c>
      <c r="O46" s="103">
        <v>942.224953892857</v>
      </c>
      <c r="P46" s="104">
        <f t="shared" si="30"/>
        <v>1.40947058769944</v>
      </c>
      <c r="Q46" s="127"/>
      <c r="R46" s="127"/>
      <c r="S46" s="103">
        <f t="shared" si="31"/>
        <v>5820.20532405221</v>
      </c>
      <c r="T46" s="104">
        <f t="shared" si="32"/>
        <v>1.05047118657536</v>
      </c>
      <c r="U46" s="103"/>
      <c r="V46" s="103">
        <v>286.651562817763</v>
      </c>
      <c r="W46" s="104">
        <f t="shared" si="33"/>
        <v>-0.42688571837784</v>
      </c>
      <c r="X46" s="103">
        <v>291.461722115993</v>
      </c>
      <c r="Y46" s="104">
        <f t="shared" si="34"/>
        <v>-0.372629817136609</v>
      </c>
      <c r="Z46" s="103">
        <v>291.295957494846</v>
      </c>
      <c r="AA46" s="104">
        <f t="shared" si="35"/>
        <v>-0.192483260583295</v>
      </c>
      <c r="AB46" s="103">
        <v>349.693784107488</v>
      </c>
      <c r="AC46" s="104">
        <f t="shared" si="36"/>
        <v>-0.106193763495467</v>
      </c>
      <c r="AD46" s="103">
        <v>396.379830373332</v>
      </c>
      <c r="AE46" s="104">
        <f t="shared" si="37"/>
        <v>0.0264785011553526</v>
      </c>
      <c r="AF46" s="103">
        <v>404.873873331255</v>
      </c>
      <c r="AG46" s="104">
        <f t="shared" si="38"/>
        <v>-0.129128518453571</v>
      </c>
      <c r="AH46" s="103">
        <v>391.050614480625</v>
      </c>
      <c r="AI46" s="104">
        <f t="shared" si="39"/>
        <v>-0.163546308255237</v>
      </c>
      <c r="AJ46" s="103">
        <v>427.064788980301</v>
      </c>
      <c r="AK46" s="104">
        <f t="shared" si="40"/>
        <v>-0.186441925454325</v>
      </c>
      <c r="AL46" s="103">
        <v>370.916562101393</v>
      </c>
      <c r="AM46" s="104">
        <f t="shared" si="41"/>
        <v>-0.201501847080909</v>
      </c>
      <c r="AN46" s="103">
        <v>493.448124159218</v>
      </c>
      <c r="AO46" s="104">
        <f t="shared" si="42"/>
        <v>-0.0213697656147359</v>
      </c>
      <c r="AP46" s="103">
        <v>438.328835402068</v>
      </c>
      <c r="AQ46" s="104">
        <f t="shared" si="43"/>
        <v>-0.138255254524392</v>
      </c>
      <c r="AR46" s="103">
        <v>571.20113009008</v>
      </c>
      <c r="AS46" s="104">
        <f t="shared" si="44"/>
        <v>-0.0706998257729853</v>
      </c>
      <c r="AT46" s="103">
        <f t="shared" si="45"/>
        <v>4712.36678545436</v>
      </c>
      <c r="AU46" s="104">
        <f t="shared" si="46"/>
        <v>-0.166287864063789</v>
      </c>
      <c r="AV46" s="104"/>
      <c r="AW46" s="103">
        <v>500.164752493021</v>
      </c>
      <c r="AX46" s="104"/>
      <c r="AY46" s="103">
        <v>464.576943688537</v>
      </c>
      <c r="AZ46" s="104"/>
      <c r="BA46" s="103">
        <v>360.730549939136</v>
      </c>
      <c r="BB46" s="104"/>
      <c r="BC46" s="103">
        <v>391.24115476645</v>
      </c>
      <c r="BD46" s="104"/>
      <c r="BE46" s="103">
        <v>386.155024120999</v>
      </c>
      <c r="BF46" s="104"/>
      <c r="BG46" s="103">
        <v>464.906569925002</v>
      </c>
      <c r="BH46" s="104"/>
      <c r="BI46" s="103">
        <v>467.510178196393</v>
      </c>
      <c r="BJ46" s="104"/>
      <c r="BK46" s="103">
        <v>524.934608041094</v>
      </c>
      <c r="BL46" s="104"/>
      <c r="BM46" s="103">
        <v>464.517745902634</v>
      </c>
      <c r="BN46" s="104"/>
      <c r="BO46" s="103">
        <v>504.223256978344</v>
      </c>
      <c r="BP46" s="104"/>
      <c r="BQ46" s="103">
        <v>508.652750949063</v>
      </c>
      <c r="BR46" s="104"/>
      <c r="BS46" s="103">
        <v>614.657293662084</v>
      </c>
      <c r="BT46" s="104"/>
      <c r="BU46" s="103">
        <f t="shared" si="47"/>
        <v>5652.27082866276</v>
      </c>
      <c r="BV46" s="104"/>
      <c r="BW46" s="162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165"/>
      <c r="CI46" s="165"/>
      <c r="CJ46" s="146"/>
    </row>
    <row r="47" ht="28.8" customHeight="1" spans="1:88">
      <c r="A47" s="45"/>
      <c r="B47" s="141" t="s">
        <v>284</v>
      </c>
      <c r="C47" s="103">
        <v>124.323342960254</v>
      </c>
      <c r="D47" s="104">
        <f t="shared" si="24"/>
        <v>1.58884047129357</v>
      </c>
      <c r="E47" s="103">
        <v>140.891982883712</v>
      </c>
      <c r="F47" s="104">
        <f t="shared" si="25"/>
        <v>1.77513337451188</v>
      </c>
      <c r="G47" s="103">
        <v>141.968848753193</v>
      </c>
      <c r="H47" s="104">
        <f t="shared" si="26"/>
        <v>1.78583470138921</v>
      </c>
      <c r="I47" s="103">
        <v>142.395502620252</v>
      </c>
      <c r="J47" s="104">
        <f t="shared" si="27"/>
        <v>1.36073583118738</v>
      </c>
      <c r="K47" s="103">
        <v>148.922870172992</v>
      </c>
      <c r="L47" s="104">
        <f t="shared" si="28"/>
        <v>1.12742537817874</v>
      </c>
      <c r="M47" s="103">
        <v>149.784476951394</v>
      </c>
      <c r="N47" s="104">
        <f t="shared" si="29"/>
        <v>0.926812788029072</v>
      </c>
      <c r="O47" s="103">
        <v>160.601153213417</v>
      </c>
      <c r="P47" s="104">
        <f t="shared" si="30"/>
        <v>1.17930257130297</v>
      </c>
      <c r="Q47" s="127"/>
      <c r="R47" s="127"/>
      <c r="S47" s="103">
        <f t="shared" si="31"/>
        <v>1008.88817755521</v>
      </c>
      <c r="T47" s="104">
        <f t="shared" si="32"/>
        <v>0.979918580113418</v>
      </c>
      <c r="U47" s="103"/>
      <c r="V47" s="103">
        <v>48.0227902564167</v>
      </c>
      <c r="W47" s="104">
        <f t="shared" si="33"/>
        <v>-0.459089843019617</v>
      </c>
      <c r="X47" s="103">
        <v>50.769445597725</v>
      </c>
      <c r="Y47" s="104">
        <f t="shared" si="34"/>
        <v>-0.384820070277455</v>
      </c>
      <c r="Z47" s="103">
        <v>50.960973629339</v>
      </c>
      <c r="AA47" s="104">
        <f t="shared" si="35"/>
        <v>-0.298558368730757</v>
      </c>
      <c r="AB47" s="103">
        <v>60.3182705744045</v>
      </c>
      <c r="AC47" s="104">
        <f t="shared" si="36"/>
        <v>-0.222132962232402</v>
      </c>
      <c r="AD47" s="103">
        <v>70.0014541992928</v>
      </c>
      <c r="AE47" s="104">
        <f t="shared" si="37"/>
        <v>-0.078877152187276</v>
      </c>
      <c r="AF47" s="103">
        <v>77.7369124192952</v>
      </c>
      <c r="AG47" s="104">
        <f t="shared" si="38"/>
        <v>-0.150689076026349</v>
      </c>
      <c r="AH47" s="103">
        <v>73.6938300024105</v>
      </c>
      <c r="AI47" s="104">
        <f t="shared" si="39"/>
        <v>-0.206241184839861</v>
      </c>
      <c r="AJ47" s="103">
        <v>78.0567606485042</v>
      </c>
      <c r="AK47" s="104">
        <f t="shared" si="40"/>
        <v>-0.241599680312336</v>
      </c>
      <c r="AL47" s="103">
        <v>67.8948474964322</v>
      </c>
      <c r="AM47" s="104">
        <f t="shared" si="41"/>
        <v>-0.257146199869769</v>
      </c>
      <c r="AN47" s="103">
        <v>83.9527377127735</v>
      </c>
      <c r="AO47" s="104">
        <f t="shared" si="42"/>
        <v>-0.140777400218468</v>
      </c>
      <c r="AP47" s="103">
        <v>81.8152508343407</v>
      </c>
      <c r="AQ47" s="104">
        <f t="shared" si="43"/>
        <v>-0.151298629427458</v>
      </c>
      <c r="AR47" s="103">
        <v>100.412442534522</v>
      </c>
      <c r="AS47" s="104">
        <f t="shared" si="44"/>
        <v>-0.132201405006836</v>
      </c>
      <c r="AT47" s="103">
        <f t="shared" si="45"/>
        <v>843.635715905456</v>
      </c>
      <c r="AU47" s="104">
        <f t="shared" si="46"/>
        <v>-0.223177869811917</v>
      </c>
      <c r="AV47" s="104"/>
      <c r="AW47" s="103">
        <v>88.7814540671647</v>
      </c>
      <c r="AX47" s="104"/>
      <c r="AY47" s="103">
        <v>82.5277990142214</v>
      </c>
      <c r="AZ47" s="104"/>
      <c r="BA47" s="103">
        <v>72.6517665299196</v>
      </c>
      <c r="BB47" s="104"/>
      <c r="BC47" s="103">
        <v>77.5431630931579</v>
      </c>
      <c r="BD47" s="104"/>
      <c r="BE47" s="103">
        <v>75.9957853238757</v>
      </c>
      <c r="BF47" s="104"/>
      <c r="BG47" s="103">
        <v>91.5293919164366</v>
      </c>
      <c r="BH47" s="104"/>
      <c r="BI47" s="103">
        <v>92.8415894033793</v>
      </c>
      <c r="BJ47" s="104"/>
      <c r="BK47" s="103">
        <v>102.922900508073</v>
      </c>
      <c r="BL47" s="104"/>
      <c r="BM47" s="103">
        <v>91.3973213632742</v>
      </c>
      <c r="BN47" s="104"/>
      <c r="BO47" s="103">
        <v>97.707785775327</v>
      </c>
      <c r="BP47" s="104"/>
      <c r="BQ47" s="103">
        <v>96.4005169205127</v>
      </c>
      <c r="BR47" s="104"/>
      <c r="BS47" s="103">
        <v>115.709385926481</v>
      </c>
      <c r="BT47" s="104"/>
      <c r="BU47" s="103">
        <f t="shared" si="47"/>
        <v>1086.00885984182</v>
      </c>
      <c r="BV47" s="104"/>
      <c r="BW47" s="162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46"/>
    </row>
    <row r="48" ht="28.8" customHeight="1" spans="1:88">
      <c r="A48" s="29"/>
      <c r="B48" s="141" t="s">
        <v>276</v>
      </c>
      <c r="C48" s="103">
        <v>393.01233389282</v>
      </c>
      <c r="D48" s="104">
        <f t="shared" si="24"/>
        <v>1.19421151283957</v>
      </c>
      <c r="E48" s="103">
        <v>528.694806464498</v>
      </c>
      <c r="F48" s="104">
        <f t="shared" si="25"/>
        <v>2.08942644271704</v>
      </c>
      <c r="G48" s="103">
        <v>509.039082698589</v>
      </c>
      <c r="H48" s="104">
        <f t="shared" si="26"/>
        <v>1.94013793307094</v>
      </c>
      <c r="I48" s="103">
        <v>521.934241654842</v>
      </c>
      <c r="J48" s="104">
        <f t="shared" si="27"/>
        <v>1.46611091454569</v>
      </c>
      <c r="K48" s="103">
        <v>564.528328318979</v>
      </c>
      <c r="L48" s="104">
        <f t="shared" si="28"/>
        <v>1.31771372708964</v>
      </c>
      <c r="M48" s="103">
        <v>553.431716398076</v>
      </c>
      <c r="N48" s="104">
        <f t="shared" si="29"/>
        <v>1.21656235154188</v>
      </c>
      <c r="O48" s="103">
        <v>589.392665084948</v>
      </c>
      <c r="P48" s="104">
        <f t="shared" si="30"/>
        <v>1.63274518609767</v>
      </c>
      <c r="Q48" s="127"/>
      <c r="R48" s="127"/>
      <c r="S48" s="103">
        <f t="shared" si="31"/>
        <v>3660.03317451275</v>
      </c>
      <c r="T48" s="104">
        <f t="shared" si="32"/>
        <v>1.15505776869837</v>
      </c>
      <c r="U48" s="103"/>
      <c r="V48" s="103">
        <v>179.113240265618</v>
      </c>
      <c r="W48" s="104">
        <f t="shared" si="33"/>
        <v>-0.296701571218028</v>
      </c>
      <c r="X48" s="103">
        <v>171.130407623342</v>
      </c>
      <c r="Y48" s="104">
        <f t="shared" si="34"/>
        <v>-0.374790683369177</v>
      </c>
      <c r="Z48" s="103">
        <v>173.134422359193</v>
      </c>
      <c r="AA48" s="104">
        <f t="shared" si="35"/>
        <v>-0.0935124697205864</v>
      </c>
      <c r="AB48" s="103">
        <v>211.642646961397</v>
      </c>
      <c r="AC48" s="104">
        <f t="shared" si="36"/>
        <v>0.0344818987932014</v>
      </c>
      <c r="AD48" s="103">
        <v>243.571206280018</v>
      </c>
      <c r="AE48" s="104">
        <f t="shared" si="37"/>
        <v>0.132071311409884</v>
      </c>
      <c r="AF48" s="103">
        <v>249.680193301623</v>
      </c>
      <c r="AG48" s="104">
        <f t="shared" si="38"/>
        <v>-0.181017769601767</v>
      </c>
      <c r="AH48" s="103">
        <v>223.870000103794</v>
      </c>
      <c r="AI48" s="104">
        <f t="shared" si="39"/>
        <v>-0.274349784289324</v>
      </c>
      <c r="AJ48" s="103">
        <v>246.2036201306</v>
      </c>
      <c r="AK48" s="104">
        <f t="shared" si="40"/>
        <v>-0.361067088317948</v>
      </c>
      <c r="AL48" s="103">
        <v>209.893152914411</v>
      </c>
      <c r="AM48" s="104">
        <f t="shared" si="41"/>
        <v>-0.350420421806136</v>
      </c>
      <c r="AN48" s="103">
        <v>284.864032193556</v>
      </c>
      <c r="AO48" s="104">
        <f t="shared" si="42"/>
        <v>-0.172421512583101</v>
      </c>
      <c r="AP48" s="103">
        <v>279.769800136565</v>
      </c>
      <c r="AQ48" s="104">
        <f t="shared" si="43"/>
        <v>-0.179564082827827</v>
      </c>
      <c r="AR48" s="103">
        <v>342.967085775573</v>
      </c>
      <c r="AS48" s="104">
        <f t="shared" si="44"/>
        <v>-0.233183097195275</v>
      </c>
      <c r="AT48" s="103">
        <f t="shared" si="45"/>
        <v>2815.83980804569</v>
      </c>
      <c r="AU48" s="104">
        <f t="shared" si="46"/>
        <v>-0.216394462189521</v>
      </c>
      <c r="AV48" s="104"/>
      <c r="AW48" s="103">
        <v>254.676013674338</v>
      </c>
      <c r="AX48" s="104"/>
      <c r="AY48" s="103">
        <v>273.716982570802</v>
      </c>
      <c r="AZ48" s="104"/>
      <c r="BA48" s="103">
        <v>190.994819648348</v>
      </c>
      <c r="BB48" s="104"/>
      <c r="BC48" s="103">
        <v>204.588062109442</v>
      </c>
      <c r="BD48" s="104"/>
      <c r="BE48" s="103">
        <v>215.155356226344</v>
      </c>
      <c r="BF48" s="104"/>
      <c r="BG48" s="103">
        <v>304.866435478356</v>
      </c>
      <c r="BH48" s="104"/>
      <c r="BI48" s="103">
        <v>308.509520505749</v>
      </c>
      <c r="BJ48" s="104"/>
      <c r="BK48" s="103">
        <v>385.335636385431</v>
      </c>
      <c r="BL48" s="104"/>
      <c r="BM48" s="103">
        <v>323.121538854427</v>
      </c>
      <c r="BN48" s="104"/>
      <c r="BO48" s="103">
        <v>344.213916292937</v>
      </c>
      <c r="BP48" s="104"/>
      <c r="BQ48" s="103">
        <v>341.001404595813</v>
      </c>
      <c r="BR48" s="104"/>
      <c r="BS48" s="103">
        <v>447.260727458054</v>
      </c>
      <c r="BT48" s="104"/>
      <c r="BU48" s="103">
        <f t="shared" si="47"/>
        <v>3593.44041380004</v>
      </c>
      <c r="BV48" s="104"/>
      <c r="BW48" s="162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46"/>
    </row>
    <row r="49" ht="28.8" customHeight="1" spans="1:88">
      <c r="A49" s="166" t="s">
        <v>103</v>
      </c>
      <c r="B49" s="141" t="s">
        <v>282</v>
      </c>
      <c r="C49" s="103">
        <v>148.531970248615</v>
      </c>
      <c r="D49" s="104">
        <f t="shared" si="24"/>
        <v>-0.10784731458763</v>
      </c>
      <c r="E49" s="103">
        <v>128.331106055023</v>
      </c>
      <c r="F49" s="104">
        <f t="shared" si="25"/>
        <v>0.293599149350968</v>
      </c>
      <c r="G49" s="103">
        <v>149.553620447868</v>
      </c>
      <c r="H49" s="104">
        <f t="shared" si="26"/>
        <v>0.405201027699559</v>
      </c>
      <c r="I49" s="103">
        <v>138.637051569213</v>
      </c>
      <c r="J49" s="104">
        <f t="shared" si="27"/>
        <v>0.266222319239299</v>
      </c>
      <c r="K49" s="103">
        <v>164.413817318963</v>
      </c>
      <c r="L49" s="104">
        <f t="shared" si="28"/>
        <v>0.416682272390979</v>
      </c>
      <c r="M49" s="103">
        <v>171.330532111177</v>
      </c>
      <c r="N49" s="104">
        <f t="shared" si="29"/>
        <v>0.522536801251615</v>
      </c>
      <c r="O49" s="103">
        <v>151.532007944222</v>
      </c>
      <c r="P49" s="104">
        <f t="shared" si="30"/>
        <v>0.441401608707184</v>
      </c>
      <c r="Q49" s="127"/>
      <c r="R49" s="127"/>
      <c r="S49" s="103">
        <f t="shared" si="31"/>
        <v>1052.33010569508</v>
      </c>
      <c r="T49" s="104">
        <f t="shared" si="32"/>
        <v>0.144171969390419</v>
      </c>
      <c r="U49" s="103"/>
      <c r="V49" s="103">
        <v>166.487163775067</v>
      </c>
      <c r="W49" s="104">
        <f t="shared" si="33"/>
        <v>0.308940566453842</v>
      </c>
      <c r="X49" s="103">
        <v>99.2046926742415</v>
      </c>
      <c r="Y49" s="104">
        <f t="shared" si="34"/>
        <v>-0.0213159018371678</v>
      </c>
      <c r="Z49" s="103">
        <v>106.428630138921</v>
      </c>
      <c r="AA49" s="104">
        <f t="shared" si="35"/>
        <v>-0.0644054292980383</v>
      </c>
      <c r="AB49" s="103">
        <v>109.488712576557</v>
      </c>
      <c r="AC49" s="104">
        <f t="shared" si="36"/>
        <v>-0.117965217620701</v>
      </c>
      <c r="AD49" s="103">
        <v>116.055533779975</v>
      </c>
      <c r="AE49" s="104">
        <f t="shared" si="37"/>
        <v>-0.0436424727379972</v>
      </c>
      <c r="AF49" s="103">
        <v>112.529649181769</v>
      </c>
      <c r="AG49" s="104">
        <f t="shared" si="38"/>
        <v>-0.317904419194127</v>
      </c>
      <c r="AH49" s="103">
        <v>105.128235620698</v>
      </c>
      <c r="AI49" s="104">
        <f t="shared" si="39"/>
        <v>-0.350426180257742</v>
      </c>
      <c r="AJ49" s="103">
        <v>104.408099179644</v>
      </c>
      <c r="AK49" s="104">
        <f t="shared" si="40"/>
        <v>-0.376282503252093</v>
      </c>
      <c r="AL49" s="103">
        <v>95.2216033698767</v>
      </c>
      <c r="AM49" s="104">
        <f t="shared" si="41"/>
        <v>-0.403888275743726</v>
      </c>
      <c r="AN49" s="103">
        <v>143.781836258445</v>
      </c>
      <c r="AO49" s="104">
        <f t="shared" si="42"/>
        <v>-0.114956781405108</v>
      </c>
      <c r="AP49" s="103">
        <v>144.993994236736</v>
      </c>
      <c r="AQ49" s="104">
        <f t="shared" si="43"/>
        <v>-0.0714889331088743</v>
      </c>
      <c r="AR49" s="103">
        <v>190.985192870953</v>
      </c>
      <c r="AS49" s="104">
        <f t="shared" si="44"/>
        <v>0.106395451529845</v>
      </c>
      <c r="AT49" s="103">
        <f t="shared" si="45"/>
        <v>1494.71334366288</v>
      </c>
      <c r="AU49" s="104">
        <f t="shared" si="46"/>
        <v>-0.137491108163304</v>
      </c>
      <c r="AV49" s="104"/>
      <c r="AW49" s="103">
        <v>127.192301959218</v>
      </c>
      <c r="AX49" s="104"/>
      <c r="AY49" s="103">
        <v>101.365387320042</v>
      </c>
      <c r="AZ49" s="104"/>
      <c r="BA49" s="103">
        <v>113.755074550154</v>
      </c>
      <c r="BB49" s="104"/>
      <c r="BC49" s="103">
        <v>124.131967087749</v>
      </c>
      <c r="BD49" s="104"/>
      <c r="BE49" s="103">
        <v>121.351618481255</v>
      </c>
      <c r="BF49" s="104"/>
      <c r="BG49" s="103">
        <v>164.976364527709</v>
      </c>
      <c r="BH49" s="104"/>
      <c r="BI49" s="103">
        <v>161.841860656286</v>
      </c>
      <c r="BJ49" s="104"/>
      <c r="BK49" s="103">
        <v>167.396457088398</v>
      </c>
      <c r="BL49" s="104"/>
      <c r="BM49" s="103">
        <v>159.737846942497</v>
      </c>
      <c r="BN49" s="104"/>
      <c r="BO49" s="103">
        <v>162.457418166217</v>
      </c>
      <c r="BP49" s="104"/>
      <c r="BQ49" s="103">
        <v>156.157529411265</v>
      </c>
      <c r="BR49" s="104"/>
      <c r="BS49" s="103">
        <v>172.619285994779</v>
      </c>
      <c r="BT49" s="104"/>
      <c r="BU49" s="103">
        <f t="shared" si="47"/>
        <v>1732.98311218557</v>
      </c>
      <c r="BV49" s="104"/>
      <c r="BW49" s="162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146"/>
    </row>
    <row r="50" ht="28.8" customHeight="1" spans="1:88">
      <c r="A50" s="45"/>
      <c r="B50" s="141" t="s">
        <v>283</v>
      </c>
      <c r="C50" s="103">
        <v>811.24638037659</v>
      </c>
      <c r="D50" s="104">
        <f t="shared" si="24"/>
        <v>-0.13710079956494</v>
      </c>
      <c r="E50" s="103">
        <v>640.381923964501</v>
      </c>
      <c r="F50" s="104">
        <f t="shared" si="25"/>
        <v>0.156064350800857</v>
      </c>
      <c r="G50" s="103">
        <v>792.910431855927</v>
      </c>
      <c r="H50" s="104">
        <f t="shared" si="26"/>
        <v>0.379369988687489</v>
      </c>
      <c r="I50" s="103">
        <v>741.361083242519</v>
      </c>
      <c r="J50" s="104">
        <f t="shared" si="27"/>
        <v>0.243979079743103</v>
      </c>
      <c r="K50" s="103">
        <v>894.566327816704</v>
      </c>
      <c r="L50" s="104">
        <f t="shared" si="28"/>
        <v>0.436893114869656</v>
      </c>
      <c r="M50" s="103">
        <v>927.212875528077</v>
      </c>
      <c r="N50" s="104">
        <f t="shared" si="29"/>
        <v>0.515140600117633</v>
      </c>
      <c r="O50" s="103">
        <v>792.306921602354</v>
      </c>
      <c r="P50" s="104">
        <f t="shared" si="30"/>
        <v>0.352408999951477</v>
      </c>
      <c r="Q50" s="127"/>
      <c r="R50" s="127"/>
      <c r="S50" s="103">
        <f t="shared" si="31"/>
        <v>5599.98594438667</v>
      </c>
      <c r="T50" s="104">
        <f t="shared" si="32"/>
        <v>0.104467490374471</v>
      </c>
      <c r="U50" s="103"/>
      <c r="V50" s="103">
        <v>940.140377888371</v>
      </c>
      <c r="W50" s="104">
        <f t="shared" si="33"/>
        <v>0.109640257075454</v>
      </c>
      <c r="X50" s="103">
        <v>553.932766390452</v>
      </c>
      <c r="Y50" s="104">
        <f t="shared" si="34"/>
        <v>-0.00358208029981966</v>
      </c>
      <c r="Z50" s="103">
        <v>574.835206187431</v>
      </c>
      <c r="AA50" s="104">
        <f t="shared" si="35"/>
        <v>-0.0538781935175868</v>
      </c>
      <c r="AB50" s="103">
        <v>595.959446034751</v>
      </c>
      <c r="AC50" s="104">
        <f t="shared" si="36"/>
        <v>-0.125118429678236</v>
      </c>
      <c r="AD50" s="103">
        <v>622.569847791255</v>
      </c>
      <c r="AE50" s="104">
        <f t="shared" si="37"/>
        <v>-0.0664840747464035</v>
      </c>
      <c r="AF50" s="103">
        <v>611.964906396205</v>
      </c>
      <c r="AG50" s="104">
        <f t="shared" si="38"/>
        <v>-0.343607815957418</v>
      </c>
      <c r="AH50" s="103">
        <v>585.84860174014</v>
      </c>
      <c r="AI50" s="104">
        <f t="shared" si="39"/>
        <v>-0.365402755233756</v>
      </c>
      <c r="AJ50" s="103">
        <v>585.052856689846</v>
      </c>
      <c r="AK50" s="104">
        <f t="shared" si="40"/>
        <v>-0.397397179879814</v>
      </c>
      <c r="AL50" s="103">
        <v>528.395575009096</v>
      </c>
      <c r="AM50" s="104">
        <f t="shared" si="41"/>
        <v>-0.421168663934483</v>
      </c>
      <c r="AN50" s="103">
        <v>813.769845038729</v>
      </c>
      <c r="AO50" s="104">
        <f t="shared" si="42"/>
        <v>-0.129187096557519</v>
      </c>
      <c r="AP50" s="103">
        <v>807.760490636915</v>
      </c>
      <c r="AQ50" s="104">
        <f t="shared" si="43"/>
        <v>-0.0986182422843287</v>
      </c>
      <c r="AR50" s="103">
        <v>1080.0496388516</v>
      </c>
      <c r="AS50" s="104">
        <f t="shared" si="44"/>
        <v>0.0695299394177473</v>
      </c>
      <c r="AT50" s="103">
        <f t="shared" si="45"/>
        <v>8300.27955865479</v>
      </c>
      <c r="AU50" s="104">
        <f t="shared" si="46"/>
        <v>-0.164839635335042</v>
      </c>
      <c r="AV50" s="104"/>
      <c r="AW50" s="103">
        <v>847.247900293548</v>
      </c>
      <c r="AX50" s="104"/>
      <c r="AY50" s="103">
        <v>555.924131269266</v>
      </c>
      <c r="AZ50" s="104"/>
      <c r="BA50" s="103">
        <v>607.569979096678</v>
      </c>
      <c r="BB50" s="104"/>
      <c r="BC50" s="103">
        <v>681.18870742193</v>
      </c>
      <c r="BD50" s="104"/>
      <c r="BE50" s="103">
        <v>666.908652492596</v>
      </c>
      <c r="BF50" s="104"/>
      <c r="BG50" s="103">
        <v>932.31595572519</v>
      </c>
      <c r="BH50" s="104"/>
      <c r="BI50" s="103">
        <v>923.1817606708</v>
      </c>
      <c r="BJ50" s="104"/>
      <c r="BK50" s="103">
        <v>970.87640010241</v>
      </c>
      <c r="BL50" s="104"/>
      <c r="BM50" s="103">
        <v>912.866222137787</v>
      </c>
      <c r="BN50" s="104"/>
      <c r="BO50" s="103">
        <v>934.494472718249</v>
      </c>
      <c r="BP50" s="104"/>
      <c r="BQ50" s="103">
        <v>896.135831153255</v>
      </c>
      <c r="BR50" s="104"/>
      <c r="BS50" s="103">
        <v>1009.83581575994</v>
      </c>
      <c r="BT50" s="104"/>
      <c r="BU50" s="103">
        <f t="shared" si="47"/>
        <v>9938.54582884165</v>
      </c>
      <c r="BV50" s="104"/>
      <c r="BW50" s="162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165"/>
      <c r="CI50" s="165"/>
      <c r="CJ50" s="146"/>
    </row>
    <row r="51" ht="28.8" customHeight="1" spans="1:88">
      <c r="A51" s="45"/>
      <c r="B51" s="141" t="s">
        <v>284</v>
      </c>
      <c r="C51" s="103">
        <v>111.930362064473</v>
      </c>
      <c r="D51" s="104">
        <f t="shared" si="24"/>
        <v>-0.162047533725596</v>
      </c>
      <c r="E51" s="103">
        <v>99.5175392406717</v>
      </c>
      <c r="F51" s="104">
        <f t="shared" si="25"/>
        <v>0.268058821097413</v>
      </c>
      <c r="G51" s="103">
        <v>116.085804734724</v>
      </c>
      <c r="H51" s="104">
        <f t="shared" si="26"/>
        <v>0.399364157190657</v>
      </c>
      <c r="I51" s="103">
        <v>109.634243492883</v>
      </c>
      <c r="J51" s="104">
        <f t="shared" si="27"/>
        <v>0.292905537507098</v>
      </c>
      <c r="K51" s="103">
        <v>129.5993208422</v>
      </c>
      <c r="L51" s="104">
        <f t="shared" si="28"/>
        <v>0.477791344524472</v>
      </c>
      <c r="M51" s="103">
        <v>135.789465701708</v>
      </c>
      <c r="N51" s="104">
        <f t="shared" si="29"/>
        <v>0.570602280453426</v>
      </c>
      <c r="O51" s="103">
        <v>116.90003879499</v>
      </c>
      <c r="P51" s="104">
        <f t="shared" si="30"/>
        <v>0.463567256860843</v>
      </c>
      <c r="Q51" s="127"/>
      <c r="R51" s="127"/>
      <c r="S51" s="103">
        <f t="shared" si="31"/>
        <v>819.45677487165</v>
      </c>
      <c r="T51" s="104">
        <f t="shared" si="32"/>
        <v>0.150171123805083</v>
      </c>
      <c r="U51" s="103"/>
      <c r="V51" s="103">
        <v>133.576027960301</v>
      </c>
      <c r="W51" s="104">
        <f t="shared" si="33"/>
        <v>0.432627786585372</v>
      </c>
      <c r="X51" s="103">
        <v>78.4802231449693</v>
      </c>
      <c r="Y51" s="104">
        <f t="shared" si="34"/>
        <v>-0.0735249695779329</v>
      </c>
      <c r="Z51" s="103">
        <v>82.9561084141073</v>
      </c>
      <c r="AA51" s="104">
        <f t="shared" si="35"/>
        <v>-0.123143634191995</v>
      </c>
      <c r="AB51" s="103">
        <v>84.7967932013603</v>
      </c>
      <c r="AC51" s="104">
        <f t="shared" si="36"/>
        <v>-0.170736614999788</v>
      </c>
      <c r="AD51" s="103">
        <v>87.6979834280345</v>
      </c>
      <c r="AE51" s="104">
        <f t="shared" si="37"/>
        <v>-0.117031051378303</v>
      </c>
      <c r="AF51" s="103">
        <v>86.4569390937763</v>
      </c>
      <c r="AG51" s="104">
        <f t="shared" si="38"/>
        <v>-0.366486271998464</v>
      </c>
      <c r="AH51" s="103">
        <v>79.873363008766</v>
      </c>
      <c r="AI51" s="104">
        <f t="shared" si="39"/>
        <v>-0.409041379151411</v>
      </c>
      <c r="AJ51" s="103">
        <v>78.6276531697432</v>
      </c>
      <c r="AK51" s="104">
        <f t="shared" si="40"/>
        <v>-0.442568405121071</v>
      </c>
      <c r="AL51" s="103">
        <v>71.2562518531481</v>
      </c>
      <c r="AM51" s="104">
        <f t="shared" si="41"/>
        <v>-0.458551794779024</v>
      </c>
      <c r="AN51" s="103">
        <v>111.604963594149</v>
      </c>
      <c r="AO51" s="104">
        <f t="shared" si="42"/>
        <v>-0.158401543731347</v>
      </c>
      <c r="AP51" s="103">
        <v>109.382968690869</v>
      </c>
      <c r="AQ51" s="104">
        <f t="shared" si="43"/>
        <v>-0.137887295210384</v>
      </c>
      <c r="AR51" s="103">
        <v>148.13970396997</v>
      </c>
      <c r="AS51" s="104">
        <f t="shared" si="44"/>
        <v>-0.0938280637695514</v>
      </c>
      <c r="AT51" s="103">
        <f t="shared" si="45"/>
        <v>1152.84897952919</v>
      </c>
      <c r="AU51" s="104">
        <f t="shared" si="46"/>
        <v>-0.200179762909723</v>
      </c>
      <c r="AV51" s="104"/>
      <c r="AW51" s="103">
        <v>93.238473531688</v>
      </c>
      <c r="AX51" s="104"/>
      <c r="AY51" s="103">
        <v>84.7084061285674</v>
      </c>
      <c r="AZ51" s="104"/>
      <c r="BA51" s="103">
        <v>94.6062680832168</v>
      </c>
      <c r="BB51" s="104"/>
      <c r="BC51" s="103">
        <v>102.255561664933</v>
      </c>
      <c r="BD51" s="104"/>
      <c r="BE51" s="103">
        <v>99.3217072524803</v>
      </c>
      <c r="BF51" s="104"/>
      <c r="BG51" s="103">
        <v>136.472084616873</v>
      </c>
      <c r="BH51" s="104"/>
      <c r="BI51" s="103">
        <v>135.158977618554</v>
      </c>
      <c r="BJ51" s="104"/>
      <c r="BK51" s="103">
        <v>141.053456409877</v>
      </c>
      <c r="BL51" s="104"/>
      <c r="BM51" s="103">
        <v>131.603080712156</v>
      </c>
      <c r="BN51" s="104"/>
      <c r="BO51" s="103">
        <v>132.610703789745</v>
      </c>
      <c r="BP51" s="104"/>
      <c r="BQ51" s="103">
        <v>126.877806211616</v>
      </c>
      <c r="BR51" s="104"/>
      <c r="BS51" s="103">
        <v>163.478582868292</v>
      </c>
      <c r="BT51" s="104"/>
      <c r="BU51" s="103">
        <f t="shared" si="47"/>
        <v>1441.385108888</v>
      </c>
      <c r="BV51" s="104"/>
      <c r="BW51" s="162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46"/>
    </row>
    <row r="52" ht="28.8" customHeight="1" spans="1:88">
      <c r="A52" s="29"/>
      <c r="B52" s="141" t="s">
        <v>276</v>
      </c>
      <c r="C52" s="103">
        <v>379.109469546311</v>
      </c>
      <c r="D52" s="104">
        <f t="shared" si="24"/>
        <v>-0.102810693053395</v>
      </c>
      <c r="E52" s="103">
        <v>316.610393079542</v>
      </c>
      <c r="F52" s="104">
        <f t="shared" si="25"/>
        <v>0.338583622976677</v>
      </c>
      <c r="G52" s="103">
        <v>416.233646151633</v>
      </c>
      <c r="H52" s="104">
        <f t="shared" si="26"/>
        <v>0.711829896675821</v>
      </c>
      <c r="I52" s="103">
        <v>401.851636350216</v>
      </c>
      <c r="J52" s="104">
        <f t="shared" si="27"/>
        <v>0.561937297990653</v>
      </c>
      <c r="K52" s="103">
        <v>474.189798214699</v>
      </c>
      <c r="L52" s="104">
        <f t="shared" si="28"/>
        <v>0.797112648726621</v>
      </c>
      <c r="M52" s="103">
        <v>498.450097171262</v>
      </c>
      <c r="N52" s="104">
        <f t="shared" si="29"/>
        <v>0.85550806010511</v>
      </c>
      <c r="O52" s="103">
        <v>433.676454620941</v>
      </c>
      <c r="P52" s="104">
        <f t="shared" si="30"/>
        <v>0.747588848666575</v>
      </c>
      <c r="Q52" s="127"/>
      <c r="R52" s="127"/>
      <c r="S52" s="103">
        <f t="shared" si="31"/>
        <v>2920.1214951346</v>
      </c>
      <c r="T52" s="104">
        <f t="shared" si="32"/>
        <v>0.330053820438447</v>
      </c>
      <c r="U52" s="103"/>
      <c r="V52" s="103">
        <v>422.552371735827</v>
      </c>
      <c r="W52" s="104">
        <f t="shared" si="33"/>
        <v>0.51263538272736</v>
      </c>
      <c r="X52" s="103">
        <v>236.526420647131</v>
      </c>
      <c r="Y52" s="104">
        <f t="shared" si="34"/>
        <v>-0.211270638823147</v>
      </c>
      <c r="Z52" s="103">
        <v>243.151289132122</v>
      </c>
      <c r="AA52" s="104">
        <f t="shared" si="35"/>
        <v>-0.163725115414581</v>
      </c>
      <c r="AB52" s="103">
        <v>257.277700498718</v>
      </c>
      <c r="AC52" s="104">
        <f t="shared" si="36"/>
        <v>-0.119729141931048</v>
      </c>
      <c r="AD52" s="103">
        <v>263.862033663107</v>
      </c>
      <c r="AE52" s="104">
        <f t="shared" si="37"/>
        <v>-0.0699062302247661</v>
      </c>
      <c r="AF52" s="103">
        <v>268.632676886904</v>
      </c>
      <c r="AG52" s="104">
        <f t="shared" si="38"/>
        <v>-0.416805191193442</v>
      </c>
      <c r="AH52" s="103">
        <v>248.157027868334</v>
      </c>
      <c r="AI52" s="104">
        <f t="shared" si="39"/>
        <v>-0.462074547904961</v>
      </c>
      <c r="AJ52" s="103">
        <v>255.331707262687</v>
      </c>
      <c r="AK52" s="104">
        <f t="shared" si="40"/>
        <v>-0.526790089131148</v>
      </c>
      <c r="AL52" s="103">
        <v>226.292513779962</v>
      </c>
      <c r="AM52" s="104">
        <f t="shared" si="41"/>
        <v>-0.52598997877961</v>
      </c>
      <c r="AN52" s="103">
        <v>389.020083458326</v>
      </c>
      <c r="AO52" s="104">
        <f t="shared" si="42"/>
        <v>-0.15998473399152</v>
      </c>
      <c r="AP52" s="103">
        <v>385.089607170413</v>
      </c>
      <c r="AQ52" s="104">
        <f t="shared" si="43"/>
        <v>-0.155118801480969</v>
      </c>
      <c r="AR52" s="103">
        <v>534.224475716952</v>
      </c>
      <c r="AS52" s="104">
        <f t="shared" si="44"/>
        <v>-0.147232012039964</v>
      </c>
      <c r="AT52" s="103">
        <f t="shared" si="45"/>
        <v>3730.11790782048</v>
      </c>
      <c r="AU52" s="104">
        <f t="shared" si="46"/>
        <v>-0.243419421040578</v>
      </c>
      <c r="AV52" s="104"/>
      <c r="AW52" s="103">
        <v>279.34846464714</v>
      </c>
      <c r="AX52" s="104"/>
      <c r="AY52" s="103">
        <v>299.882865136671</v>
      </c>
      <c r="AZ52" s="104"/>
      <c r="BA52" s="103">
        <v>290.755221296241</v>
      </c>
      <c r="BB52" s="104"/>
      <c r="BC52" s="103">
        <v>292.271064230284</v>
      </c>
      <c r="BD52" s="104"/>
      <c r="BE52" s="103">
        <v>283.694012622912</v>
      </c>
      <c r="BF52" s="104"/>
      <c r="BG52" s="103">
        <v>460.622544697595</v>
      </c>
      <c r="BH52" s="104"/>
      <c r="BI52" s="103">
        <v>461.322339186305</v>
      </c>
      <c r="BJ52" s="104"/>
      <c r="BK52" s="103">
        <v>539.573879156244</v>
      </c>
      <c r="BL52" s="104"/>
      <c r="BM52" s="103">
        <v>477.400273516048</v>
      </c>
      <c r="BN52" s="104"/>
      <c r="BO52" s="103">
        <v>463.110730483318</v>
      </c>
      <c r="BP52" s="104"/>
      <c r="BQ52" s="103">
        <v>455.791427061492</v>
      </c>
      <c r="BR52" s="104"/>
      <c r="BS52" s="103">
        <v>626.459345636211</v>
      </c>
      <c r="BT52" s="104"/>
      <c r="BU52" s="103">
        <f t="shared" si="47"/>
        <v>4930.23216767046</v>
      </c>
      <c r="BV52" s="104"/>
      <c r="BW52" s="162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46"/>
    </row>
    <row r="53" ht="28.8" customHeight="1" spans="1:88">
      <c r="A53" s="166" t="s">
        <v>104</v>
      </c>
      <c r="B53" s="141" t="s">
        <v>282</v>
      </c>
      <c r="C53" s="103">
        <v>90.8584556926307</v>
      </c>
      <c r="D53" s="104">
        <f t="shared" si="24"/>
        <v>5.01089842662002</v>
      </c>
      <c r="E53" s="103">
        <v>96.8915804526329</v>
      </c>
      <c r="F53" s="104">
        <f t="shared" si="25"/>
        <v>5.20856207411975</v>
      </c>
      <c r="G53" s="103">
        <v>89.0542198747102</v>
      </c>
      <c r="H53" s="104">
        <f t="shared" si="26"/>
        <v>4.46526976556415</v>
      </c>
      <c r="I53" s="103">
        <v>85.4061653466394</v>
      </c>
      <c r="J53" s="104">
        <f t="shared" si="27"/>
        <v>3.48299170200606</v>
      </c>
      <c r="K53" s="103">
        <v>84.4039953573833</v>
      </c>
      <c r="L53" s="104">
        <f t="shared" si="28"/>
        <v>3.04589768596849</v>
      </c>
      <c r="M53" s="103">
        <v>82.9175271430725</v>
      </c>
      <c r="N53" s="104">
        <f t="shared" si="29"/>
        <v>2.79369192438967</v>
      </c>
      <c r="O53" s="103">
        <v>86.2080454906161</v>
      </c>
      <c r="P53" s="104">
        <f t="shared" si="30"/>
        <v>2.4120863711096</v>
      </c>
      <c r="Q53" s="127"/>
      <c r="R53" s="127"/>
      <c r="S53" s="103">
        <f t="shared" si="31"/>
        <v>615.739989357685</v>
      </c>
      <c r="T53" s="104">
        <f t="shared" si="32"/>
        <v>2.77738523818075</v>
      </c>
      <c r="U53" s="103"/>
      <c r="V53" s="103">
        <v>15.1156198697773</v>
      </c>
      <c r="W53" s="104">
        <f t="shared" si="33"/>
        <v>-0.687145681577858</v>
      </c>
      <c r="X53" s="103">
        <v>15.6061225281975</v>
      </c>
      <c r="Y53" s="104">
        <f t="shared" si="34"/>
        <v>-0.59476261226697</v>
      </c>
      <c r="Z53" s="103">
        <v>16.2945698373075</v>
      </c>
      <c r="AA53" s="104">
        <f t="shared" si="35"/>
        <v>-0.54008898367882</v>
      </c>
      <c r="AB53" s="103">
        <v>19.0511540113763</v>
      </c>
      <c r="AC53" s="104">
        <f t="shared" si="36"/>
        <v>-0.476251576543475</v>
      </c>
      <c r="AD53" s="103">
        <v>20.8616237751398</v>
      </c>
      <c r="AE53" s="104">
        <f t="shared" si="37"/>
        <v>-0.343375509171529</v>
      </c>
      <c r="AF53" s="103">
        <v>21.8566844107702</v>
      </c>
      <c r="AG53" s="104">
        <f t="shared" si="38"/>
        <v>-0.426722360540115</v>
      </c>
      <c r="AH53" s="103">
        <v>25.2654933417121</v>
      </c>
      <c r="AI53" s="104">
        <f t="shared" si="39"/>
        <v>-0.423569031001644</v>
      </c>
      <c r="AJ53" s="103">
        <v>28.9556670583009</v>
      </c>
      <c r="AK53" s="104">
        <f t="shared" si="40"/>
        <v>-0.361588153284062</v>
      </c>
      <c r="AL53" s="103">
        <v>26.6983056282237</v>
      </c>
      <c r="AM53" s="104">
        <f t="shared" si="41"/>
        <v>-0.280097068160677</v>
      </c>
      <c r="AN53" s="103">
        <v>37.2780290951107</v>
      </c>
      <c r="AO53" s="104">
        <f t="shared" si="42"/>
        <v>-0.100726164007591</v>
      </c>
      <c r="AP53" s="103">
        <v>48.1176500118946</v>
      </c>
      <c r="AQ53" s="104">
        <f t="shared" si="43"/>
        <v>0.0977175721559822</v>
      </c>
      <c r="AR53" s="103">
        <v>76.9015047444437</v>
      </c>
      <c r="AS53" s="104">
        <f t="shared" si="44"/>
        <v>0.542604014141324</v>
      </c>
      <c r="AT53" s="103">
        <f t="shared" si="45"/>
        <v>352.002424312254</v>
      </c>
      <c r="AU53" s="104">
        <f t="shared" si="46"/>
        <v>-0.28153933383331</v>
      </c>
      <c r="AV53" s="104"/>
      <c r="AW53" s="103">
        <v>48.3152028906356</v>
      </c>
      <c r="AX53" s="104"/>
      <c r="AY53" s="103">
        <v>38.5110628994549</v>
      </c>
      <c r="AZ53" s="104"/>
      <c r="BA53" s="103">
        <v>35.4298315523022</v>
      </c>
      <c r="BB53" s="104"/>
      <c r="BC53" s="103">
        <v>36.3746278903266</v>
      </c>
      <c r="BD53" s="104"/>
      <c r="BE53" s="103">
        <v>31.7710107778929</v>
      </c>
      <c r="BF53" s="104"/>
      <c r="BG53" s="103">
        <v>38.1258275333441</v>
      </c>
      <c r="BH53" s="104"/>
      <c r="BI53" s="103">
        <v>43.8309089909154</v>
      </c>
      <c r="BJ53" s="104"/>
      <c r="BK53" s="103">
        <v>45.3557796698982</v>
      </c>
      <c r="BL53" s="104"/>
      <c r="BM53" s="103">
        <v>37.08597985566</v>
      </c>
      <c r="BN53" s="104"/>
      <c r="BO53" s="103">
        <v>41.4534790217397</v>
      </c>
      <c r="BP53" s="104"/>
      <c r="BQ53" s="103">
        <v>43.8342714304816</v>
      </c>
      <c r="BR53" s="104"/>
      <c r="BS53" s="103">
        <v>49.8517468121916</v>
      </c>
      <c r="BT53" s="104"/>
      <c r="BU53" s="103">
        <f t="shared" si="47"/>
        <v>489.939729324843</v>
      </c>
      <c r="BV53" s="104"/>
      <c r="BW53" s="162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146"/>
    </row>
    <row r="54" ht="28.8" customHeight="1" spans="1:88">
      <c r="A54" s="45"/>
      <c r="B54" s="141" t="s">
        <v>283</v>
      </c>
      <c r="C54" s="103">
        <v>493.786597104954</v>
      </c>
      <c r="D54" s="104">
        <f t="shared" si="24"/>
        <v>5.01484015575367</v>
      </c>
      <c r="E54" s="103">
        <v>539.008853382637</v>
      </c>
      <c r="F54" s="104">
        <f t="shared" si="25"/>
        <v>5.42105883264858</v>
      </c>
      <c r="G54" s="103">
        <v>490.061067616998</v>
      </c>
      <c r="H54" s="104">
        <f t="shared" si="26"/>
        <v>4.56829730451711</v>
      </c>
      <c r="I54" s="103">
        <v>474.032580125723</v>
      </c>
      <c r="J54" s="104">
        <f t="shared" si="27"/>
        <v>3.57129812087529</v>
      </c>
      <c r="K54" s="103">
        <v>470.171612540327</v>
      </c>
      <c r="L54" s="104">
        <f t="shared" si="28"/>
        <v>3.15263211248495</v>
      </c>
      <c r="M54" s="103">
        <v>458.640316123547</v>
      </c>
      <c r="N54" s="104">
        <f t="shared" si="29"/>
        <v>2.87775303179701</v>
      </c>
      <c r="O54" s="103">
        <v>475.222783489257</v>
      </c>
      <c r="P54" s="104">
        <f t="shared" si="30"/>
        <v>2.46464067525558</v>
      </c>
      <c r="Q54" s="127"/>
      <c r="R54" s="127"/>
      <c r="S54" s="103">
        <f t="shared" si="31"/>
        <v>3400.92381038344</v>
      </c>
      <c r="T54" s="104">
        <f t="shared" si="32"/>
        <v>2.84514233287393</v>
      </c>
      <c r="U54" s="103"/>
      <c r="V54" s="103">
        <v>82.0947164543696</v>
      </c>
      <c r="W54" s="104">
        <f t="shared" si="33"/>
        <v>-0.678502199652456</v>
      </c>
      <c r="X54" s="103">
        <v>83.9439206882807</v>
      </c>
      <c r="Y54" s="104">
        <f t="shared" si="34"/>
        <v>-0.594657934770924</v>
      </c>
      <c r="Z54" s="103">
        <v>88.0091419004246</v>
      </c>
      <c r="AA54" s="104">
        <f t="shared" si="35"/>
        <v>-0.525673984271677</v>
      </c>
      <c r="AB54" s="103">
        <v>103.697586022886</v>
      </c>
      <c r="AC54" s="104">
        <f t="shared" si="36"/>
        <v>-0.464157207788463</v>
      </c>
      <c r="AD54" s="103">
        <v>113.22255374531</v>
      </c>
      <c r="AE54" s="104">
        <f t="shared" si="37"/>
        <v>-0.331144591374553</v>
      </c>
      <c r="AF54" s="103">
        <v>118.274761791884</v>
      </c>
      <c r="AG54" s="104">
        <f t="shared" si="38"/>
        <v>-0.432874641989022</v>
      </c>
      <c r="AH54" s="103">
        <v>137.163656503629</v>
      </c>
      <c r="AI54" s="104">
        <f t="shared" si="39"/>
        <v>-0.43413434957852</v>
      </c>
      <c r="AJ54" s="103">
        <v>158.066464148801</v>
      </c>
      <c r="AK54" s="104">
        <f t="shared" si="40"/>
        <v>-0.383200276992309</v>
      </c>
      <c r="AL54" s="103">
        <v>144.561841536527</v>
      </c>
      <c r="AM54" s="104">
        <f t="shared" si="41"/>
        <v>-0.297578091474888</v>
      </c>
      <c r="AN54" s="103">
        <v>205.87177049323</v>
      </c>
      <c r="AO54" s="104">
        <f t="shared" si="42"/>
        <v>-0.106608732348241</v>
      </c>
      <c r="AP54" s="103">
        <v>265.426393320519</v>
      </c>
      <c r="AQ54" s="104">
        <f t="shared" si="43"/>
        <v>0.0813669959509051</v>
      </c>
      <c r="AR54" s="103">
        <v>427.110923779609</v>
      </c>
      <c r="AS54" s="104">
        <f t="shared" si="44"/>
        <v>0.51302636448325</v>
      </c>
      <c r="AT54" s="103">
        <f t="shared" si="45"/>
        <v>1927.44373038547</v>
      </c>
      <c r="AU54" s="104">
        <f t="shared" si="46"/>
        <v>-0.281339340301988</v>
      </c>
      <c r="AV54" s="104"/>
      <c r="AW54" s="103">
        <v>255.350787363472</v>
      </c>
      <c r="AX54" s="104"/>
      <c r="AY54" s="103">
        <v>207.094027215854</v>
      </c>
      <c r="AZ54" s="104"/>
      <c r="BA54" s="103">
        <v>185.545677407737</v>
      </c>
      <c r="BB54" s="104"/>
      <c r="BC54" s="103">
        <v>193.522405321352</v>
      </c>
      <c r="BD54" s="104"/>
      <c r="BE54" s="103">
        <v>169.278071590976</v>
      </c>
      <c r="BF54" s="104"/>
      <c r="BG54" s="103">
        <v>208.551354865699</v>
      </c>
      <c r="BH54" s="104"/>
      <c r="BI54" s="103">
        <v>242.396152516881</v>
      </c>
      <c r="BJ54" s="104"/>
      <c r="BK54" s="103">
        <v>256.268701577919</v>
      </c>
      <c r="BL54" s="104"/>
      <c r="BM54" s="103">
        <v>205.804858564372</v>
      </c>
      <c r="BN54" s="104"/>
      <c r="BO54" s="103">
        <v>230.438530067968</v>
      </c>
      <c r="BP54" s="104"/>
      <c r="BQ54" s="103">
        <v>245.454498162407</v>
      </c>
      <c r="BR54" s="104"/>
      <c r="BS54" s="103">
        <v>282.289148296158</v>
      </c>
      <c r="BT54" s="104"/>
      <c r="BU54" s="103">
        <f t="shared" si="47"/>
        <v>2681.9942129508</v>
      </c>
      <c r="BV54" s="104"/>
      <c r="BW54" s="162"/>
      <c r="BX54" s="165"/>
      <c r="BY54" s="165"/>
      <c r="BZ54" s="165"/>
      <c r="CA54" s="165"/>
      <c r="CB54" s="165"/>
      <c r="CC54" s="165"/>
      <c r="CD54" s="165"/>
      <c r="CE54" s="165"/>
      <c r="CF54" s="165"/>
      <c r="CG54" s="165"/>
      <c r="CH54" s="165"/>
      <c r="CI54" s="165"/>
      <c r="CJ54" s="146"/>
    </row>
    <row r="55" ht="28.8" customHeight="1" spans="1:88">
      <c r="A55" s="45"/>
      <c r="B55" s="141" t="s">
        <v>284</v>
      </c>
      <c r="C55" s="103">
        <v>81.0768687975981</v>
      </c>
      <c r="D55" s="104">
        <f t="shared" si="24"/>
        <v>4.8841306028708</v>
      </c>
      <c r="E55" s="103">
        <v>87.5355015702977</v>
      </c>
      <c r="F55" s="104">
        <f t="shared" si="25"/>
        <v>5.28348766811696</v>
      </c>
      <c r="G55" s="103">
        <v>80.1261126677638</v>
      </c>
      <c r="H55" s="104">
        <f t="shared" si="26"/>
        <v>4.55265055608205</v>
      </c>
      <c r="I55" s="103">
        <v>77.0901078789798</v>
      </c>
      <c r="J55" s="104">
        <f t="shared" si="27"/>
        <v>3.5986076104167</v>
      </c>
      <c r="K55" s="103">
        <v>76.1864674868134</v>
      </c>
      <c r="L55" s="104">
        <f t="shared" si="28"/>
        <v>3.10400282961295</v>
      </c>
      <c r="M55" s="103">
        <v>74.479047495971</v>
      </c>
      <c r="N55" s="104">
        <f t="shared" si="29"/>
        <v>2.79617098906745</v>
      </c>
      <c r="O55" s="103">
        <v>77.3107981137469</v>
      </c>
      <c r="P55" s="104">
        <f t="shared" si="30"/>
        <v>2.48351614577355</v>
      </c>
      <c r="Q55" s="127"/>
      <c r="R55" s="127"/>
      <c r="S55" s="103">
        <f t="shared" si="31"/>
        <v>553.804904011171</v>
      </c>
      <c r="T55" s="104">
        <f t="shared" si="32"/>
        <v>2.82948694183691</v>
      </c>
      <c r="U55" s="103"/>
      <c r="V55" s="103">
        <v>13.7789036766182</v>
      </c>
      <c r="W55" s="104">
        <f t="shared" si="33"/>
        <v>-0.687919165492517</v>
      </c>
      <c r="X55" s="103">
        <v>13.931037378248</v>
      </c>
      <c r="Y55" s="104">
        <f t="shared" si="34"/>
        <v>-0.601328458497343</v>
      </c>
      <c r="Z55" s="103">
        <v>14.4302458543872</v>
      </c>
      <c r="AA55" s="104">
        <f t="shared" si="35"/>
        <v>-0.544260646762373</v>
      </c>
      <c r="AB55" s="103">
        <v>16.7637933935386</v>
      </c>
      <c r="AC55" s="104">
        <f t="shared" si="36"/>
        <v>-0.483689749401845</v>
      </c>
      <c r="AD55" s="103">
        <v>18.5639412665801</v>
      </c>
      <c r="AE55" s="104">
        <f t="shared" si="37"/>
        <v>-0.341714945255791</v>
      </c>
      <c r="AF55" s="103">
        <v>19.6195186440396</v>
      </c>
      <c r="AG55" s="104">
        <f t="shared" si="38"/>
        <v>-0.436139596662267</v>
      </c>
      <c r="AH55" s="103">
        <v>22.1933227459117</v>
      </c>
      <c r="AI55" s="104">
        <f t="shared" si="39"/>
        <v>-0.444744352890879</v>
      </c>
      <c r="AJ55" s="103">
        <v>25.335190149404</v>
      </c>
      <c r="AK55" s="104">
        <f t="shared" si="40"/>
        <v>-0.39659069328595</v>
      </c>
      <c r="AL55" s="103">
        <v>23.1917802604568</v>
      </c>
      <c r="AM55" s="104">
        <f t="shared" si="41"/>
        <v>-0.314876679146144</v>
      </c>
      <c r="AN55" s="103">
        <v>33.3103702783098</v>
      </c>
      <c r="AO55" s="104">
        <f t="shared" si="42"/>
        <v>-0.119453892755913</v>
      </c>
      <c r="AP55" s="103">
        <v>43.1288850390825</v>
      </c>
      <c r="AQ55" s="104">
        <f t="shared" si="43"/>
        <v>0.074049157462039</v>
      </c>
      <c r="AR55" s="103">
        <v>69.0093726324416</v>
      </c>
      <c r="AS55" s="104">
        <f t="shared" si="44"/>
        <v>0.50467358492455</v>
      </c>
      <c r="AT55" s="103">
        <f t="shared" si="45"/>
        <v>313.256361319018</v>
      </c>
      <c r="AU55" s="104">
        <f t="shared" si="46"/>
        <v>-0.297438405294914</v>
      </c>
      <c r="AV55" s="104"/>
      <c r="AW55" s="103">
        <v>44.1517137646843</v>
      </c>
      <c r="AX55" s="104"/>
      <c r="AY55" s="103">
        <v>34.9436464056092</v>
      </c>
      <c r="AZ55" s="104"/>
      <c r="BA55" s="103">
        <v>31.6633745843386</v>
      </c>
      <c r="BB55" s="104"/>
      <c r="BC55" s="103">
        <v>32.4684496852763</v>
      </c>
      <c r="BD55" s="104"/>
      <c r="BE55" s="103">
        <v>28.2004598658153</v>
      </c>
      <c r="BF55" s="104"/>
      <c r="BG55" s="103">
        <v>34.7949927462599</v>
      </c>
      <c r="BH55" s="104"/>
      <c r="BI55" s="103">
        <v>39.9695579170763</v>
      </c>
      <c r="BJ55" s="104"/>
      <c r="BK55" s="103">
        <v>41.9867407868969</v>
      </c>
      <c r="BL55" s="104"/>
      <c r="BM55" s="103">
        <v>33.8505193948928</v>
      </c>
      <c r="BN55" s="104"/>
      <c r="BO55" s="103">
        <v>37.8292175779004</v>
      </c>
      <c r="BP55" s="104"/>
      <c r="BQ55" s="103">
        <v>40.1554107085707</v>
      </c>
      <c r="BR55" s="104"/>
      <c r="BS55" s="103">
        <v>45.8633509113553</v>
      </c>
      <c r="BT55" s="104"/>
      <c r="BU55" s="103">
        <f t="shared" si="47"/>
        <v>445.877434348676</v>
      </c>
      <c r="BV55" s="104"/>
      <c r="BW55" s="162"/>
      <c r="BX55" s="167"/>
      <c r="BY55" s="167"/>
      <c r="BZ55" s="167"/>
      <c r="CA55" s="167"/>
      <c r="CB55" s="167"/>
      <c r="CC55" s="167"/>
      <c r="CD55" s="167"/>
      <c r="CE55" s="167"/>
      <c r="CF55" s="167"/>
      <c r="CG55" s="167"/>
      <c r="CH55" s="167"/>
      <c r="CI55" s="167"/>
      <c r="CJ55" s="146"/>
    </row>
    <row r="56" ht="28.8" customHeight="1" spans="1:88">
      <c r="A56" s="29"/>
      <c r="B56" s="141" t="s">
        <v>276</v>
      </c>
      <c r="C56" s="103">
        <v>286.813134584428</v>
      </c>
      <c r="D56" s="104">
        <f t="shared" si="24"/>
        <v>5.38492547487468</v>
      </c>
      <c r="E56" s="103">
        <v>335.616275638949</v>
      </c>
      <c r="F56" s="104">
        <f t="shared" si="25"/>
        <v>6.72258984824898</v>
      </c>
      <c r="G56" s="103">
        <v>300.066480591095</v>
      </c>
      <c r="H56" s="104">
        <f t="shared" si="26"/>
        <v>5.61342185241039</v>
      </c>
      <c r="I56" s="103">
        <v>295.123310928936</v>
      </c>
      <c r="J56" s="104">
        <f t="shared" si="27"/>
        <v>4.42132057493436</v>
      </c>
      <c r="K56" s="103">
        <v>295.08165167796</v>
      </c>
      <c r="L56" s="104">
        <f t="shared" si="28"/>
        <v>3.93607002980722</v>
      </c>
      <c r="M56" s="103">
        <v>281.171551448255</v>
      </c>
      <c r="N56" s="104">
        <f t="shared" si="29"/>
        <v>3.34852586539841</v>
      </c>
      <c r="O56" s="103">
        <v>289.892013217615</v>
      </c>
      <c r="P56" s="104">
        <f t="shared" si="30"/>
        <v>3.00829639367738</v>
      </c>
      <c r="Q56" s="127"/>
      <c r="R56" s="127"/>
      <c r="S56" s="103">
        <f t="shared" si="31"/>
        <v>2083.76441808724</v>
      </c>
      <c r="T56" s="104">
        <f t="shared" si="32"/>
        <v>3.42718302285957</v>
      </c>
      <c r="U56" s="103"/>
      <c r="V56" s="103">
        <v>44.9203574439618</v>
      </c>
      <c r="W56" s="104">
        <f t="shared" si="33"/>
        <v>-0.646894951390765</v>
      </c>
      <c r="X56" s="103">
        <v>43.4590315210184</v>
      </c>
      <c r="Y56" s="104">
        <f t="shared" si="34"/>
        <v>-0.634551508186609</v>
      </c>
      <c r="Z56" s="103">
        <v>45.3723484283299</v>
      </c>
      <c r="AA56" s="104">
        <f t="shared" si="35"/>
        <v>-0.514972969875357</v>
      </c>
      <c r="AB56" s="103">
        <v>54.4375317507412</v>
      </c>
      <c r="AC56" s="104">
        <f t="shared" si="36"/>
        <v>-0.434532838661239</v>
      </c>
      <c r="AD56" s="103">
        <v>59.7806858282123</v>
      </c>
      <c r="AE56" s="104">
        <f t="shared" si="37"/>
        <v>-0.286140796744079</v>
      </c>
      <c r="AF56" s="103">
        <v>64.6590500209648</v>
      </c>
      <c r="AG56" s="104">
        <f t="shared" si="38"/>
        <v>-0.468095029655761</v>
      </c>
      <c r="AH56" s="103">
        <v>72.3229982879724</v>
      </c>
      <c r="AI56" s="104">
        <f t="shared" si="39"/>
        <v>-0.490080824064575</v>
      </c>
      <c r="AJ56" s="103">
        <v>85.7230077422442</v>
      </c>
      <c r="AK56" s="104">
        <f t="shared" si="40"/>
        <v>-0.468535927103322</v>
      </c>
      <c r="AL56" s="103">
        <v>76.9103634767932</v>
      </c>
      <c r="AM56" s="104">
        <f t="shared" si="41"/>
        <v>-0.373670424973437</v>
      </c>
      <c r="AN56" s="103">
        <v>121.247149362979</v>
      </c>
      <c r="AO56" s="104">
        <f t="shared" si="42"/>
        <v>-0.11333256567987</v>
      </c>
      <c r="AP56" s="103">
        <v>158.206425961914</v>
      </c>
      <c r="AQ56" s="104">
        <f t="shared" si="43"/>
        <v>0.0618758827655512</v>
      </c>
      <c r="AR56" s="103">
        <v>258.729848419148</v>
      </c>
      <c r="AS56" s="104">
        <f t="shared" si="44"/>
        <v>0.434711424437693</v>
      </c>
      <c r="AT56" s="103">
        <f t="shared" si="45"/>
        <v>1085.76879824428</v>
      </c>
      <c r="AU56" s="104">
        <f t="shared" si="46"/>
        <v>-0.291850112552157</v>
      </c>
      <c r="AV56" s="104"/>
      <c r="AW56" s="103">
        <v>127.215279478128</v>
      </c>
      <c r="AX56" s="104"/>
      <c r="AY56" s="103">
        <v>118.919717811313</v>
      </c>
      <c r="AZ56" s="104"/>
      <c r="BA56" s="103">
        <v>93.5460203458559</v>
      </c>
      <c r="BB56" s="104"/>
      <c r="BC56" s="103">
        <v>96.2700143751206</v>
      </c>
      <c r="BD56" s="104"/>
      <c r="BE56" s="103">
        <v>83.7429643766611</v>
      </c>
      <c r="BF56" s="104"/>
      <c r="BG56" s="103">
        <v>121.561281856642</v>
      </c>
      <c r="BH56" s="104"/>
      <c r="BI56" s="103">
        <v>141.832277939536</v>
      </c>
      <c r="BJ56" s="104"/>
      <c r="BK56" s="103">
        <v>161.295959809704</v>
      </c>
      <c r="BL56" s="104"/>
      <c r="BM56" s="103">
        <v>122.795356539776</v>
      </c>
      <c r="BN56" s="104"/>
      <c r="BO56" s="103">
        <v>136.744786906432</v>
      </c>
      <c r="BP56" s="104"/>
      <c r="BQ56" s="103">
        <v>148.98768163929</v>
      </c>
      <c r="BR56" s="104"/>
      <c r="BS56" s="103">
        <v>180.335811099122</v>
      </c>
      <c r="BT56" s="104"/>
      <c r="BU56" s="103">
        <f t="shared" si="47"/>
        <v>1533.24715217758</v>
      </c>
      <c r="BV56" s="104"/>
      <c r="BW56" s="162"/>
      <c r="BX56" s="167"/>
      <c r="BY56" s="167"/>
      <c r="BZ56" s="167"/>
      <c r="CA56" s="167"/>
      <c r="CB56" s="167"/>
      <c r="CC56" s="167"/>
      <c r="CD56" s="167"/>
      <c r="CE56" s="167"/>
      <c r="CF56" s="167"/>
      <c r="CG56" s="167"/>
      <c r="CH56" s="167"/>
      <c r="CI56" s="167"/>
      <c r="CJ56" s="146"/>
    </row>
    <row r="57" ht="28.8" customHeight="1" spans="1:88">
      <c r="A57" s="166" t="s">
        <v>105</v>
      </c>
      <c r="B57" s="141" t="s">
        <v>282</v>
      </c>
      <c r="C57" s="103">
        <v>224.567391316816</v>
      </c>
      <c r="D57" s="104">
        <f t="shared" si="24"/>
        <v>2.92224310033854</v>
      </c>
      <c r="E57" s="103">
        <v>179.459256194827</v>
      </c>
      <c r="F57" s="104">
        <f t="shared" si="25"/>
        <v>1.98867386371765</v>
      </c>
      <c r="G57" s="103">
        <v>250.863396705275</v>
      </c>
      <c r="H57" s="104">
        <f t="shared" si="26"/>
        <v>2.47418774623578</v>
      </c>
      <c r="I57" s="103">
        <v>263.154719264305</v>
      </c>
      <c r="J57" s="104">
        <f t="shared" si="27"/>
        <v>1.90302135816685</v>
      </c>
      <c r="K57" s="103">
        <v>296.507934085457</v>
      </c>
      <c r="L57" s="104">
        <f t="shared" si="28"/>
        <v>1.64872825557389</v>
      </c>
      <c r="M57" s="103">
        <v>296.843102160907</v>
      </c>
      <c r="N57" s="104">
        <f t="shared" si="29"/>
        <v>1.17351135803243</v>
      </c>
      <c r="O57" s="103">
        <v>353.510762108549</v>
      </c>
      <c r="P57" s="104">
        <f t="shared" si="30"/>
        <v>1.51010408275205</v>
      </c>
      <c r="Q57" s="127"/>
      <c r="R57" s="127"/>
      <c r="S57" s="103">
        <f t="shared" si="31"/>
        <v>1864.90656183614</v>
      </c>
      <c r="T57" s="104">
        <f t="shared" si="32"/>
        <v>1.26688197663877</v>
      </c>
      <c r="U57" s="103"/>
      <c r="V57" s="103">
        <v>57.2548374927176</v>
      </c>
      <c r="W57" s="104">
        <f t="shared" si="33"/>
        <v>-0.124255615579005</v>
      </c>
      <c r="X57" s="103">
        <v>60.0464501575274</v>
      </c>
      <c r="Y57" s="104">
        <f t="shared" si="34"/>
        <v>-0.0218481580242744</v>
      </c>
      <c r="Z57" s="103">
        <v>72.2077835249637</v>
      </c>
      <c r="AA57" s="104">
        <f t="shared" si="35"/>
        <v>0.21217333248021</v>
      </c>
      <c r="AB57" s="103">
        <v>90.6485646493753</v>
      </c>
      <c r="AC57" s="104">
        <f t="shared" si="36"/>
        <v>0.359937264264637</v>
      </c>
      <c r="AD57" s="103">
        <v>111.943508535274</v>
      </c>
      <c r="AE57" s="104">
        <f t="shared" si="37"/>
        <v>0.459623684712342</v>
      </c>
      <c r="AF57" s="103">
        <v>136.573062323274</v>
      </c>
      <c r="AG57" s="104">
        <f t="shared" si="38"/>
        <v>0.324834173982243</v>
      </c>
      <c r="AH57" s="103">
        <v>140.83510103731</v>
      </c>
      <c r="AI57" s="104">
        <f t="shared" si="39"/>
        <v>0.333278558091898</v>
      </c>
      <c r="AJ57" s="103">
        <v>153.165441584915</v>
      </c>
      <c r="AK57" s="104">
        <f t="shared" si="40"/>
        <v>0.542660084809634</v>
      </c>
      <c r="AL57" s="103">
        <v>127.388488408698</v>
      </c>
      <c r="AM57" s="104">
        <f t="shared" si="41"/>
        <v>0.296564870981141</v>
      </c>
      <c r="AN57" s="103">
        <v>219.314264177061</v>
      </c>
      <c r="AO57" s="104">
        <f t="shared" si="42"/>
        <v>1.22719004666313</v>
      </c>
      <c r="AP57" s="103">
        <v>220.967689230616</v>
      </c>
      <c r="AQ57" s="104">
        <f t="shared" si="43"/>
        <v>1.19109802146742</v>
      </c>
      <c r="AR57" s="103">
        <v>229.677719949008</v>
      </c>
      <c r="AS57" s="104">
        <f t="shared" si="44"/>
        <v>1.0699401177751</v>
      </c>
      <c r="AT57" s="103">
        <f t="shared" si="45"/>
        <v>1620.02291107074</v>
      </c>
      <c r="AU57" s="104">
        <f t="shared" si="46"/>
        <v>0.548456961109033</v>
      </c>
      <c r="AV57" s="104"/>
      <c r="AW57" s="103">
        <v>65.3784808800939</v>
      </c>
      <c r="AX57" s="104"/>
      <c r="AY57" s="103">
        <v>61.3876573970788</v>
      </c>
      <c r="AZ57" s="104"/>
      <c r="BA57" s="103">
        <v>59.5688599890417</v>
      </c>
      <c r="BB57" s="104"/>
      <c r="BC57" s="103">
        <v>66.6564311688245</v>
      </c>
      <c r="BD57" s="104"/>
      <c r="BE57" s="103">
        <v>76.6934037229846</v>
      </c>
      <c r="BF57" s="104"/>
      <c r="BG57" s="103">
        <v>103.086910803906</v>
      </c>
      <c r="BH57" s="104"/>
      <c r="BI57" s="103">
        <v>105.630665236876</v>
      </c>
      <c r="BJ57" s="104"/>
      <c r="BK57" s="103">
        <v>99.2865784842134</v>
      </c>
      <c r="BL57" s="104"/>
      <c r="BM57" s="103">
        <v>98.2507634286745</v>
      </c>
      <c r="BN57" s="104"/>
      <c r="BO57" s="103">
        <v>98.4712842559829</v>
      </c>
      <c r="BP57" s="104"/>
      <c r="BQ57" s="103">
        <v>100.847925134189</v>
      </c>
      <c r="BR57" s="104"/>
      <c r="BS57" s="103">
        <v>110.958630144277</v>
      </c>
      <c r="BT57" s="104"/>
      <c r="BU57" s="103">
        <f t="shared" si="47"/>
        <v>1046.21759064614</v>
      </c>
      <c r="BV57" s="104"/>
      <c r="BW57" s="162"/>
      <c r="BX57" s="93"/>
      <c r="BY57" s="93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146"/>
    </row>
    <row r="58" ht="28.8" customHeight="1" spans="1:88">
      <c r="A58" s="45"/>
      <c r="B58" s="141" t="s">
        <v>283</v>
      </c>
      <c r="C58" s="103">
        <v>1317.7635973799</v>
      </c>
      <c r="D58" s="104">
        <f t="shared" si="24"/>
        <v>2.7863984789601</v>
      </c>
      <c r="E58" s="103">
        <v>1077.9350347193</v>
      </c>
      <c r="F58" s="104">
        <f t="shared" si="25"/>
        <v>2.13987907878223</v>
      </c>
      <c r="G58" s="103">
        <v>1490.5613711494</v>
      </c>
      <c r="H58" s="104">
        <f t="shared" si="26"/>
        <v>2.59569521170022</v>
      </c>
      <c r="I58" s="103">
        <v>1577.05557103915</v>
      </c>
      <c r="J58" s="104">
        <f t="shared" si="27"/>
        <v>2.00704977590638</v>
      </c>
      <c r="K58" s="103">
        <v>1783.39105339306</v>
      </c>
      <c r="L58" s="104">
        <f t="shared" si="28"/>
        <v>1.761625234539</v>
      </c>
      <c r="M58" s="103">
        <v>1772.84069975821</v>
      </c>
      <c r="N58" s="104">
        <f t="shared" si="29"/>
        <v>1.25682963453455</v>
      </c>
      <c r="O58" s="103">
        <v>2104.11251759347</v>
      </c>
      <c r="P58" s="104">
        <f t="shared" si="30"/>
        <v>1.589099195237</v>
      </c>
      <c r="Q58" s="127"/>
      <c r="R58" s="127"/>
      <c r="S58" s="103">
        <f t="shared" si="31"/>
        <v>11123.6598450325</v>
      </c>
      <c r="T58" s="104">
        <f t="shared" si="32"/>
        <v>1.33540902070076</v>
      </c>
      <c r="U58" s="103"/>
      <c r="V58" s="103">
        <v>348.025598653265</v>
      </c>
      <c r="W58" s="104">
        <f t="shared" si="33"/>
        <v>0.267957710556131</v>
      </c>
      <c r="X58" s="103">
        <v>343.304632972479</v>
      </c>
      <c r="Y58" s="104">
        <f t="shared" si="34"/>
        <v>0.389680741923502</v>
      </c>
      <c r="Z58" s="103">
        <v>414.54052231657</v>
      </c>
      <c r="AA58" s="104">
        <f t="shared" si="35"/>
        <v>0.857886331500064</v>
      </c>
      <c r="AB58" s="103">
        <v>524.45276552291</v>
      </c>
      <c r="AC58" s="104">
        <f t="shared" si="36"/>
        <v>0.461932620122346</v>
      </c>
      <c r="AD58" s="103">
        <v>645.775911622116</v>
      </c>
      <c r="AE58" s="104">
        <f t="shared" si="37"/>
        <v>0.562247671184835</v>
      </c>
      <c r="AF58" s="103">
        <v>785.544762719249</v>
      </c>
      <c r="AG58" s="104">
        <f t="shared" si="38"/>
        <v>0.379370009018815</v>
      </c>
      <c r="AH58" s="103">
        <v>812.681306866988</v>
      </c>
      <c r="AI58" s="104">
        <f t="shared" si="39"/>
        <v>0.302753458221826</v>
      </c>
      <c r="AJ58" s="103">
        <v>888.720178448932</v>
      </c>
      <c r="AK58" s="104">
        <f t="shared" si="40"/>
        <v>0.472092657842413</v>
      </c>
      <c r="AL58" s="103">
        <v>733.159126940987</v>
      </c>
      <c r="AM58" s="104">
        <f t="shared" si="41"/>
        <v>0.249510841300399</v>
      </c>
      <c r="AN58" s="103">
        <v>1287.38612758223</v>
      </c>
      <c r="AO58" s="104">
        <f t="shared" si="42"/>
        <v>1.18538870290212</v>
      </c>
      <c r="AP58" s="103">
        <v>1321.82156306763</v>
      </c>
      <c r="AQ58" s="104">
        <f t="shared" si="43"/>
        <v>1.18177818420935</v>
      </c>
      <c r="AR58" s="103">
        <v>1383.34043277719</v>
      </c>
      <c r="AS58" s="104">
        <f t="shared" si="44"/>
        <v>1.04272607063682</v>
      </c>
      <c r="AT58" s="103">
        <f t="shared" si="45"/>
        <v>9488.75292949055</v>
      </c>
      <c r="AU58" s="104">
        <f t="shared" si="46"/>
        <v>0.643739322199526</v>
      </c>
      <c r="AV58" s="104"/>
      <c r="AW58" s="103">
        <v>274.477291912693</v>
      </c>
      <c r="AX58" s="104"/>
      <c r="AY58" s="103">
        <v>247.038490651673</v>
      </c>
      <c r="AZ58" s="104"/>
      <c r="BA58" s="103">
        <v>223.124803325222</v>
      </c>
      <c r="BB58" s="104"/>
      <c r="BC58" s="103">
        <v>358.739355223512</v>
      </c>
      <c r="BD58" s="104"/>
      <c r="BE58" s="103">
        <v>413.363337666139</v>
      </c>
      <c r="BF58" s="104"/>
      <c r="BG58" s="103">
        <v>569.495318575202</v>
      </c>
      <c r="BH58" s="104"/>
      <c r="BI58" s="103">
        <v>623.818191951872</v>
      </c>
      <c r="BJ58" s="104"/>
      <c r="BK58" s="103">
        <v>603.712119420182</v>
      </c>
      <c r="BL58" s="104"/>
      <c r="BM58" s="103">
        <v>586.756915352546</v>
      </c>
      <c r="BN58" s="104"/>
      <c r="BO58" s="103">
        <v>589.087939309206</v>
      </c>
      <c r="BP58" s="104"/>
      <c r="BQ58" s="103">
        <v>605.845989585162</v>
      </c>
      <c r="BR58" s="104"/>
      <c r="BS58" s="103">
        <v>677.203102590224</v>
      </c>
      <c r="BT58" s="104"/>
      <c r="BU58" s="103">
        <f t="shared" si="47"/>
        <v>5772.66285556363</v>
      </c>
      <c r="BV58" s="104"/>
      <c r="BW58" s="162"/>
      <c r="BX58" s="165"/>
      <c r="BY58" s="165"/>
      <c r="BZ58" s="165"/>
      <c r="CA58" s="165"/>
      <c r="CB58" s="165"/>
      <c r="CC58" s="165"/>
      <c r="CD58" s="165"/>
      <c r="CE58" s="165"/>
      <c r="CF58" s="165"/>
      <c r="CG58" s="165"/>
      <c r="CH58" s="165"/>
      <c r="CI58" s="165"/>
      <c r="CJ58" s="146"/>
    </row>
    <row r="59" ht="28.8" customHeight="1" spans="1:88">
      <c r="A59" s="45"/>
      <c r="B59" s="141" t="s">
        <v>284</v>
      </c>
      <c r="C59" s="103">
        <v>189.770869158837</v>
      </c>
      <c r="D59" s="104">
        <f t="shared" si="24"/>
        <v>2.70691985545282</v>
      </c>
      <c r="E59" s="103">
        <v>151.049628175924</v>
      </c>
      <c r="F59" s="104">
        <f t="shared" si="25"/>
        <v>1.89743091904423</v>
      </c>
      <c r="G59" s="103">
        <v>213.601262048566</v>
      </c>
      <c r="H59" s="104">
        <f t="shared" si="26"/>
        <v>2.40544216034647</v>
      </c>
      <c r="I59" s="103">
        <v>226.717169621404</v>
      </c>
      <c r="J59" s="104">
        <f t="shared" si="27"/>
        <v>1.89772392325002</v>
      </c>
      <c r="K59" s="103">
        <v>257.615124276719</v>
      </c>
      <c r="L59" s="104">
        <f t="shared" si="28"/>
        <v>1.67133285448606</v>
      </c>
      <c r="M59" s="103">
        <v>254.117494598095</v>
      </c>
      <c r="N59" s="104">
        <f t="shared" si="29"/>
        <v>1.12478613212884</v>
      </c>
      <c r="O59" s="103">
        <v>299.235204223548</v>
      </c>
      <c r="P59" s="104">
        <f t="shared" si="30"/>
        <v>1.49087517159456</v>
      </c>
      <c r="Q59" s="127"/>
      <c r="R59" s="127"/>
      <c r="S59" s="103">
        <f t="shared" si="31"/>
        <v>1592.10675210309</v>
      </c>
      <c r="T59" s="104">
        <f t="shared" si="32"/>
        <v>1.2404188788899</v>
      </c>
      <c r="U59" s="103"/>
      <c r="V59" s="103">
        <v>51.1936800790789</v>
      </c>
      <c r="W59" s="104">
        <f t="shared" si="33"/>
        <v>-0.143817726781034</v>
      </c>
      <c r="X59" s="103">
        <v>52.1322621302566</v>
      </c>
      <c r="Y59" s="104">
        <f t="shared" si="34"/>
        <v>-0.0847329200348674</v>
      </c>
      <c r="Z59" s="103">
        <v>62.723503143226</v>
      </c>
      <c r="AA59" s="104">
        <f t="shared" si="35"/>
        <v>0.175928957927184</v>
      </c>
      <c r="AB59" s="103">
        <v>78.2397411300396</v>
      </c>
      <c r="AC59" s="104">
        <f t="shared" si="36"/>
        <v>0.299252433524298</v>
      </c>
      <c r="AD59" s="103">
        <v>96.4369243031983</v>
      </c>
      <c r="AE59" s="104">
        <f t="shared" si="37"/>
        <v>0.430474292764937</v>
      </c>
      <c r="AF59" s="103">
        <v>119.596739999189</v>
      </c>
      <c r="AG59" s="104">
        <f t="shared" si="38"/>
        <v>0.28315311531691</v>
      </c>
      <c r="AH59" s="103">
        <v>120.132557277846</v>
      </c>
      <c r="AI59" s="104">
        <f t="shared" si="39"/>
        <v>0.256159834457818</v>
      </c>
      <c r="AJ59" s="103">
        <v>130.173647559105</v>
      </c>
      <c r="AK59" s="104">
        <f t="shared" si="40"/>
        <v>0.436858770385802</v>
      </c>
      <c r="AL59" s="103">
        <v>105.151248025957</v>
      </c>
      <c r="AM59" s="104">
        <f t="shared" si="41"/>
        <v>0.213447881306745</v>
      </c>
      <c r="AN59" s="103">
        <v>186.316709154791</v>
      </c>
      <c r="AO59" s="104">
        <f t="shared" si="42"/>
        <v>1.2051152867358</v>
      </c>
      <c r="AP59" s="103">
        <v>183.766260483992</v>
      </c>
      <c r="AQ59" s="104">
        <f t="shared" si="43"/>
        <v>1.1368490418182</v>
      </c>
      <c r="AR59" s="103">
        <v>187.272912225511</v>
      </c>
      <c r="AS59" s="104">
        <f t="shared" si="44"/>
        <v>0.900768733537816</v>
      </c>
      <c r="AT59" s="103">
        <f t="shared" si="45"/>
        <v>1373.13618551219</v>
      </c>
      <c r="AU59" s="104">
        <f t="shared" si="46"/>
        <v>0.472005388023811</v>
      </c>
      <c r="AV59" s="104"/>
      <c r="AW59" s="103">
        <v>59.7929689511176</v>
      </c>
      <c r="AX59" s="104"/>
      <c r="AY59" s="103">
        <v>56.9585242072102</v>
      </c>
      <c r="AZ59" s="104"/>
      <c r="BA59" s="103">
        <v>53.3395344339415</v>
      </c>
      <c r="BB59" s="104"/>
      <c r="BC59" s="103">
        <v>60.2190452842253</v>
      </c>
      <c r="BD59" s="104"/>
      <c r="BE59" s="103">
        <v>67.416048502904</v>
      </c>
      <c r="BF59" s="104"/>
      <c r="BG59" s="103">
        <v>93.2053537271359</v>
      </c>
      <c r="BH59" s="104"/>
      <c r="BI59" s="103">
        <v>95.6347703393155</v>
      </c>
      <c r="BJ59" s="104"/>
      <c r="BK59" s="103">
        <v>90.595993316833</v>
      </c>
      <c r="BL59" s="104"/>
      <c r="BM59" s="103">
        <v>86.6549356143101</v>
      </c>
      <c r="BN59" s="104"/>
      <c r="BO59" s="103">
        <v>84.4929561168628</v>
      </c>
      <c r="BP59" s="104"/>
      <c r="BQ59" s="103">
        <v>85.9987097299253</v>
      </c>
      <c r="BR59" s="104"/>
      <c r="BS59" s="103">
        <v>98.5248278347615</v>
      </c>
      <c r="BT59" s="104"/>
      <c r="BU59" s="103">
        <f t="shared" si="47"/>
        <v>932.833668058543</v>
      </c>
      <c r="BV59" s="104"/>
      <c r="BW59" s="162"/>
      <c r="BX59" s="167"/>
      <c r="BY59" s="167"/>
      <c r="BZ59" s="167"/>
      <c r="CA59" s="167"/>
      <c r="CB59" s="167"/>
      <c r="CC59" s="167"/>
      <c r="CD59" s="167"/>
      <c r="CE59" s="167"/>
      <c r="CF59" s="167"/>
      <c r="CG59" s="167"/>
      <c r="CH59" s="167"/>
      <c r="CI59" s="167"/>
      <c r="CJ59" s="146"/>
    </row>
    <row r="60" ht="28.8" customHeight="1" spans="1:88">
      <c r="A60" s="29"/>
      <c r="B60" s="141" t="s">
        <v>276</v>
      </c>
      <c r="C60" s="103">
        <v>658.468012336827</v>
      </c>
      <c r="D60" s="104">
        <f t="shared" si="24"/>
        <v>2.85553509610919</v>
      </c>
      <c r="E60" s="103">
        <v>568.043398590265</v>
      </c>
      <c r="F60" s="104">
        <f t="shared" si="25"/>
        <v>2.57618052391726</v>
      </c>
      <c r="G60" s="103">
        <v>784.603593739542</v>
      </c>
      <c r="H60" s="104">
        <f t="shared" si="26"/>
        <v>3.07327312903988</v>
      </c>
      <c r="I60" s="103">
        <v>851.319026367097</v>
      </c>
      <c r="J60" s="104">
        <f t="shared" si="27"/>
        <v>2.43067740436496</v>
      </c>
      <c r="K60" s="103">
        <v>978.675670924331</v>
      </c>
      <c r="L60" s="104">
        <f t="shared" si="28"/>
        <v>2.22660503557449</v>
      </c>
      <c r="M60" s="103">
        <v>940.968089527706</v>
      </c>
      <c r="N60" s="104">
        <f t="shared" si="29"/>
        <v>1.44430646029324</v>
      </c>
      <c r="O60" s="103">
        <v>1100.55524238003</v>
      </c>
      <c r="P60" s="104">
        <f t="shared" si="30"/>
        <v>1.87831356607756</v>
      </c>
      <c r="Q60" s="127"/>
      <c r="R60" s="127"/>
      <c r="S60" s="103">
        <f t="shared" si="31"/>
        <v>5882.6330338658</v>
      </c>
      <c r="T60" s="104">
        <f t="shared" si="32"/>
        <v>1.59007517164173</v>
      </c>
      <c r="U60" s="103"/>
      <c r="V60" s="103">
        <v>170.78511696115</v>
      </c>
      <c r="W60" s="104">
        <f t="shared" si="33"/>
        <v>0.287559724187615</v>
      </c>
      <c r="X60" s="103">
        <v>158.84080649487</v>
      </c>
      <c r="Y60" s="104">
        <f t="shared" si="34"/>
        <v>0.197449435690646</v>
      </c>
      <c r="Z60" s="103">
        <v>192.622387176988</v>
      </c>
      <c r="AA60" s="104">
        <f t="shared" si="35"/>
        <v>0.849169949017132</v>
      </c>
      <c r="AB60" s="103">
        <v>248.148958944358</v>
      </c>
      <c r="AC60" s="104">
        <f t="shared" si="36"/>
        <v>0.381012139804673</v>
      </c>
      <c r="AD60" s="103">
        <v>303.314369169476</v>
      </c>
      <c r="AE60" s="104">
        <f t="shared" si="37"/>
        <v>0.505517960311875</v>
      </c>
      <c r="AF60" s="103">
        <v>384.96322159817</v>
      </c>
      <c r="AG60" s="104">
        <f t="shared" si="38"/>
        <v>0.160103621725208</v>
      </c>
      <c r="AH60" s="103">
        <v>382.361135128102</v>
      </c>
      <c r="AI60" s="104">
        <f t="shared" si="39"/>
        <v>0.260206563903231</v>
      </c>
      <c r="AJ60" s="103">
        <v>430.184970726514</v>
      </c>
      <c r="AK60" s="104">
        <f t="shared" si="40"/>
        <v>0.37922953428587</v>
      </c>
      <c r="AL60" s="103">
        <v>340.583916072982</v>
      </c>
      <c r="AM60" s="104">
        <f t="shared" si="41"/>
        <v>0.208970919363369</v>
      </c>
      <c r="AN60" s="103">
        <v>662.373284813493</v>
      </c>
      <c r="AO60" s="104">
        <f t="shared" si="42"/>
        <v>1.41991724472704</v>
      </c>
      <c r="AP60" s="103">
        <v>658.386008645713</v>
      </c>
      <c r="AQ60" s="104">
        <f t="shared" si="43"/>
        <v>1.31886291946426</v>
      </c>
      <c r="AR60" s="103">
        <v>685.760310058477</v>
      </c>
      <c r="AS60" s="104">
        <f t="shared" si="44"/>
        <v>0.965909559677258</v>
      </c>
      <c r="AT60" s="103">
        <f t="shared" si="45"/>
        <v>4618.32448579029</v>
      </c>
      <c r="AU60" s="104">
        <f t="shared" si="46"/>
        <v>0.600281006307478</v>
      </c>
      <c r="AV60" s="104"/>
      <c r="AW60" s="103">
        <v>132.642481550832</v>
      </c>
      <c r="AX60" s="104"/>
      <c r="AY60" s="103">
        <v>132.649280846883</v>
      </c>
      <c r="AZ60" s="104"/>
      <c r="BA60" s="103">
        <v>104.166946515311</v>
      </c>
      <c r="BB60" s="104"/>
      <c r="BC60" s="103">
        <v>179.686298036059</v>
      </c>
      <c r="BD60" s="104"/>
      <c r="BE60" s="103">
        <v>201.468449507333</v>
      </c>
      <c r="BF60" s="104"/>
      <c r="BG60" s="103">
        <v>331.835203674035</v>
      </c>
      <c r="BH60" s="104"/>
      <c r="BI60" s="103">
        <v>303.411477197688</v>
      </c>
      <c r="BJ60" s="104"/>
      <c r="BK60" s="103">
        <v>311.902377401781</v>
      </c>
      <c r="BL60" s="104"/>
      <c r="BM60" s="103">
        <v>281.71390280614</v>
      </c>
      <c r="BN60" s="104"/>
      <c r="BO60" s="103">
        <v>273.717329076766</v>
      </c>
      <c r="BP60" s="104"/>
      <c r="BQ60" s="103">
        <v>283.926230877771</v>
      </c>
      <c r="BR60" s="104"/>
      <c r="BS60" s="103">
        <v>348.825970494318</v>
      </c>
      <c r="BT60" s="104"/>
      <c r="BU60" s="103">
        <f t="shared" si="47"/>
        <v>2885.94594798492</v>
      </c>
      <c r="BV60" s="104"/>
      <c r="BW60" s="162"/>
      <c r="BX60" s="167"/>
      <c r="BY60" s="167"/>
      <c r="BZ60" s="167"/>
      <c r="CA60" s="167"/>
      <c r="CB60" s="167"/>
      <c r="CC60" s="167"/>
      <c r="CD60" s="167"/>
      <c r="CE60" s="167"/>
      <c r="CF60" s="167"/>
      <c r="CG60" s="167"/>
      <c r="CH60" s="167"/>
      <c r="CI60" s="167"/>
      <c r="CJ60" s="146"/>
    </row>
    <row r="61" ht="28.8" customHeight="1" spans="1:88">
      <c r="A61" s="166" t="s">
        <v>106</v>
      </c>
      <c r="B61" s="141" t="s">
        <v>282</v>
      </c>
      <c r="C61" s="103">
        <v>84.8343764891719</v>
      </c>
      <c r="D61" s="104">
        <f t="shared" si="24"/>
        <v>9.0188664048461</v>
      </c>
      <c r="E61" s="103">
        <v>83.8457470156293</v>
      </c>
      <c r="F61" s="104">
        <f t="shared" si="25"/>
        <v>6.59244005931631</v>
      </c>
      <c r="G61" s="103">
        <v>78.0912423404826</v>
      </c>
      <c r="H61" s="104">
        <f t="shared" si="26"/>
        <v>3.34878592140256</v>
      </c>
      <c r="I61" s="103">
        <v>76.1156534058571</v>
      </c>
      <c r="J61" s="104">
        <f t="shared" si="27"/>
        <v>5.66874696334266</v>
      </c>
      <c r="K61" s="103">
        <v>84.1622320895563</v>
      </c>
      <c r="L61" s="104">
        <f t="shared" si="28"/>
        <v>4.78602255318473</v>
      </c>
      <c r="M61" s="103">
        <v>82.5888506293085</v>
      </c>
      <c r="N61" s="104">
        <f t="shared" si="29"/>
        <v>3.98839844264929</v>
      </c>
      <c r="O61" s="103">
        <v>86.2646786323311</v>
      </c>
      <c r="P61" s="104">
        <f t="shared" si="30"/>
        <v>3.3625636051723</v>
      </c>
      <c r="Q61" s="127"/>
      <c r="R61" s="127"/>
      <c r="S61" s="103">
        <f t="shared" si="31"/>
        <v>575.902780602337</v>
      </c>
      <c r="T61" s="104">
        <f t="shared" si="32"/>
        <v>3.85946142993587</v>
      </c>
      <c r="U61" s="103"/>
      <c r="V61" s="103">
        <v>8.46746259119073</v>
      </c>
      <c r="W61" s="104">
        <f t="shared" si="33"/>
        <v>-0.861983282571921</v>
      </c>
      <c r="X61" s="103">
        <v>11.0433202449516</v>
      </c>
      <c r="Y61" s="104">
        <f t="shared" si="34"/>
        <v>-0.715378228009266</v>
      </c>
      <c r="Z61" s="103">
        <v>17.9570215117181</v>
      </c>
      <c r="AA61" s="104">
        <f t="shared" si="35"/>
        <v>-0.629078749029909</v>
      </c>
      <c r="AB61" s="103">
        <v>11.4137864015918</v>
      </c>
      <c r="AC61" s="104">
        <f t="shared" si="36"/>
        <v>-0.775842489163025</v>
      </c>
      <c r="AD61" s="103">
        <v>14.5457836218132</v>
      </c>
      <c r="AE61" s="104">
        <f t="shared" si="37"/>
        <v>-0.719092200814813</v>
      </c>
      <c r="AF61" s="103">
        <v>16.5561856332884</v>
      </c>
      <c r="AG61" s="104">
        <f t="shared" si="38"/>
        <v>-0.85861885159238</v>
      </c>
      <c r="AH61" s="103">
        <v>19.7738500660609</v>
      </c>
      <c r="AI61" s="104">
        <f t="shared" si="39"/>
        <v>-0.696090123094691</v>
      </c>
      <c r="AJ61" s="103">
        <v>18.7542375483142</v>
      </c>
      <c r="AK61" s="104">
        <f t="shared" si="40"/>
        <v>-0.848962179630624</v>
      </c>
      <c r="AL61" s="103">
        <v>17.7615647428737</v>
      </c>
      <c r="AM61" s="104">
        <f t="shared" si="41"/>
        <v>-0.681801315650964</v>
      </c>
      <c r="AN61" s="103">
        <v>25.6154839714135</v>
      </c>
      <c r="AO61" s="104">
        <f t="shared" si="42"/>
        <v>-0.574700168992354</v>
      </c>
      <c r="AP61" s="103">
        <v>41.9384447414216</v>
      </c>
      <c r="AQ61" s="104">
        <f t="shared" si="43"/>
        <v>-0.254072995930883</v>
      </c>
      <c r="AR61" s="103">
        <v>78.1394171225185</v>
      </c>
      <c r="AS61" s="104">
        <f t="shared" si="44"/>
        <v>0.24544528638806</v>
      </c>
      <c r="AT61" s="103">
        <f t="shared" si="45"/>
        <v>281.966558197156</v>
      </c>
      <c r="AU61" s="104">
        <f t="shared" si="46"/>
        <v>-0.644256426721973</v>
      </c>
      <c r="AV61" s="104"/>
      <c r="AW61" s="103">
        <v>61.3509924665695</v>
      </c>
      <c r="AX61" s="104"/>
      <c r="AY61" s="103">
        <v>38.7999841604216</v>
      </c>
      <c r="AZ61" s="104"/>
      <c r="BA61" s="103">
        <v>48.411951228877</v>
      </c>
      <c r="BB61" s="104"/>
      <c r="BC61" s="103">
        <v>50.9185989752215</v>
      </c>
      <c r="BD61" s="104"/>
      <c r="BE61" s="103">
        <v>51.7813448540955</v>
      </c>
      <c r="BF61" s="104"/>
      <c r="BG61" s="103">
        <v>117.103205199287</v>
      </c>
      <c r="BH61" s="104"/>
      <c r="BI61" s="103">
        <v>65.0648483932688</v>
      </c>
      <c r="BJ61" s="104"/>
      <c r="BK61" s="103">
        <v>124.169148511605</v>
      </c>
      <c r="BL61" s="104"/>
      <c r="BM61" s="103">
        <v>55.8191017640753</v>
      </c>
      <c r="BN61" s="104"/>
      <c r="BO61" s="103">
        <v>60.2292361855018</v>
      </c>
      <c r="BP61" s="104"/>
      <c r="BQ61" s="103">
        <v>56.2232557779013</v>
      </c>
      <c r="BR61" s="104"/>
      <c r="BS61" s="103">
        <v>62.7401444098216</v>
      </c>
      <c r="BT61" s="104"/>
      <c r="BU61" s="103">
        <f t="shared" si="47"/>
        <v>792.611811926646</v>
      </c>
      <c r="BV61" s="104"/>
      <c r="BW61" s="162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146"/>
    </row>
    <row r="62" ht="28.8" customHeight="1" spans="1:88">
      <c r="A62" s="45"/>
      <c r="B62" s="141" t="s">
        <v>283</v>
      </c>
      <c r="C62" s="103">
        <v>375.271348437691</v>
      </c>
      <c r="D62" s="104">
        <f t="shared" si="24"/>
        <v>11.9704850545677</v>
      </c>
      <c r="E62" s="103">
        <v>488.129387962023</v>
      </c>
      <c r="F62" s="104">
        <f t="shared" si="25"/>
        <v>12.0615402678648</v>
      </c>
      <c r="G62" s="103">
        <v>440.43994838067</v>
      </c>
      <c r="H62" s="104">
        <f t="shared" si="26"/>
        <v>6.2180661114299</v>
      </c>
      <c r="I62" s="103">
        <v>417.55474481462</v>
      </c>
      <c r="J62" s="104">
        <f t="shared" si="27"/>
        <v>9.68291236020452</v>
      </c>
      <c r="K62" s="103">
        <v>469.603651531525</v>
      </c>
      <c r="L62" s="104">
        <f t="shared" si="28"/>
        <v>8.45502860518317</v>
      </c>
      <c r="M62" s="103">
        <v>459.098836435285</v>
      </c>
      <c r="N62" s="104">
        <f t="shared" si="29"/>
        <v>7.1450067085833</v>
      </c>
      <c r="O62" s="103">
        <v>481.85437594747</v>
      </c>
      <c r="P62" s="104">
        <f t="shared" si="30"/>
        <v>6.13455091122558</v>
      </c>
      <c r="Q62" s="127"/>
      <c r="R62" s="127"/>
      <c r="S62" s="103">
        <f t="shared" si="31"/>
        <v>3131.95229350928</v>
      </c>
      <c r="T62" s="104">
        <f t="shared" si="32"/>
        <v>6.74487485083478</v>
      </c>
      <c r="U62" s="103"/>
      <c r="V62" s="103">
        <v>28.9327150726359</v>
      </c>
      <c r="W62" s="104">
        <f t="shared" si="33"/>
        <v>-0.896526730410642</v>
      </c>
      <c r="X62" s="103">
        <v>37.3715027440494</v>
      </c>
      <c r="Y62" s="104">
        <f t="shared" si="34"/>
        <v>-0.791953439671849</v>
      </c>
      <c r="Z62" s="103">
        <v>61.0191069992041</v>
      </c>
      <c r="AA62" s="104">
        <f t="shared" si="35"/>
        <v>-0.61745295746788</v>
      </c>
      <c r="AB62" s="103">
        <v>39.0862276817018</v>
      </c>
      <c r="AC62" s="104">
        <f t="shared" si="36"/>
        <v>-0.770666256693675</v>
      </c>
      <c r="AD62" s="103">
        <v>49.6670788784385</v>
      </c>
      <c r="AE62" s="104">
        <f t="shared" si="37"/>
        <v>-0.713859742616322</v>
      </c>
      <c r="AF62" s="103">
        <v>56.3656793494696</v>
      </c>
      <c r="AG62" s="104">
        <f t="shared" si="38"/>
        <v>-0.860136120986303</v>
      </c>
      <c r="AH62" s="103">
        <v>67.5381508861777</v>
      </c>
      <c r="AI62" s="104">
        <f t="shared" si="39"/>
        <v>-0.701660442596684</v>
      </c>
      <c r="AJ62" s="103">
        <v>64.4098421479388</v>
      </c>
      <c r="AK62" s="104">
        <f t="shared" si="40"/>
        <v>-0.85407525526548</v>
      </c>
      <c r="AL62" s="103">
        <v>60.505917773751</v>
      </c>
      <c r="AM62" s="104">
        <f t="shared" si="41"/>
        <v>-0.689527966527973</v>
      </c>
      <c r="AN62" s="103">
        <v>89.0006298701903</v>
      </c>
      <c r="AO62" s="104">
        <f t="shared" si="42"/>
        <v>-0.577482252959479</v>
      </c>
      <c r="AP62" s="103">
        <v>145.545464266952</v>
      </c>
      <c r="AQ62" s="104">
        <f t="shared" si="43"/>
        <v>-0.265183628239979</v>
      </c>
      <c r="AR62" s="103">
        <v>273.037731230251</v>
      </c>
      <c r="AS62" s="104">
        <f t="shared" si="44"/>
        <v>0.221565311999697</v>
      </c>
      <c r="AT62" s="103">
        <f t="shared" si="45"/>
        <v>972.48004690076</v>
      </c>
      <c r="AU62" s="104">
        <f t="shared" si="46"/>
        <v>-0.660049300240517</v>
      </c>
      <c r="AV62" s="104"/>
      <c r="AW62" s="103">
        <v>279.615355612689</v>
      </c>
      <c r="AX62" s="104"/>
      <c r="AY62" s="103">
        <v>179.63047639482</v>
      </c>
      <c r="AZ62" s="104"/>
      <c r="BA62" s="103">
        <v>159.50745977622</v>
      </c>
      <c r="BB62" s="104"/>
      <c r="BC62" s="103">
        <v>170.433827653062</v>
      </c>
      <c r="BD62" s="104"/>
      <c r="BE62" s="103">
        <v>173.575991482531</v>
      </c>
      <c r="BF62" s="104"/>
      <c r="BG62" s="103">
        <v>403.003833062215</v>
      </c>
      <c r="BH62" s="104"/>
      <c r="BI62" s="103">
        <v>226.380140381032</v>
      </c>
      <c r="BJ62" s="104"/>
      <c r="BK62" s="103">
        <v>441.390815965579</v>
      </c>
      <c r="BL62" s="104"/>
      <c r="BM62" s="103">
        <v>194.883632825507</v>
      </c>
      <c r="BN62" s="104"/>
      <c r="BO62" s="103">
        <v>210.643530345377</v>
      </c>
      <c r="BP62" s="104"/>
      <c r="BQ62" s="103">
        <v>198.0705246378</v>
      </c>
      <c r="BR62" s="104"/>
      <c r="BS62" s="103">
        <v>223.514640230975</v>
      </c>
      <c r="BT62" s="104"/>
      <c r="BU62" s="103">
        <f t="shared" si="47"/>
        <v>2860.65022836781</v>
      </c>
      <c r="BV62" s="104"/>
      <c r="BW62" s="162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165"/>
      <c r="CI62" s="165"/>
      <c r="CJ62" s="146"/>
    </row>
    <row r="63" ht="28.8" customHeight="1" spans="1:88">
      <c r="A63" s="45"/>
      <c r="B63" s="141" t="s">
        <v>284</v>
      </c>
      <c r="C63" s="103">
        <v>73.0707581184983</v>
      </c>
      <c r="D63" s="104">
        <f t="shared" si="24"/>
        <v>8.7876510318324</v>
      </c>
      <c r="E63" s="103">
        <v>72.7989993070496</v>
      </c>
      <c r="F63" s="104">
        <f t="shared" si="25"/>
        <v>6.83662935905543</v>
      </c>
      <c r="G63" s="103">
        <v>67.501017838647</v>
      </c>
      <c r="H63" s="104">
        <f t="shared" si="26"/>
        <v>3.38856000331231</v>
      </c>
      <c r="I63" s="103">
        <v>65.9762297906568</v>
      </c>
      <c r="J63" s="104">
        <f t="shared" si="27"/>
        <v>5.79177975443836</v>
      </c>
      <c r="K63" s="103">
        <v>72.9684291397603</v>
      </c>
      <c r="L63" s="104">
        <f t="shared" si="28"/>
        <v>4.92123103228859</v>
      </c>
      <c r="M63" s="103">
        <v>71.3064259550324</v>
      </c>
      <c r="N63" s="104">
        <f t="shared" si="29"/>
        <v>4.01640520389611</v>
      </c>
      <c r="O63" s="103">
        <v>74.3215513388278</v>
      </c>
      <c r="P63" s="104">
        <f t="shared" si="30"/>
        <v>3.45402730649406</v>
      </c>
      <c r="Q63" s="127"/>
      <c r="R63" s="127"/>
      <c r="S63" s="103">
        <f t="shared" si="31"/>
        <v>497.943411488472</v>
      </c>
      <c r="T63" s="104">
        <f t="shared" si="32"/>
        <v>3.93822802690234</v>
      </c>
      <c r="U63" s="103"/>
      <c r="V63" s="103">
        <v>7.46560721064228</v>
      </c>
      <c r="W63" s="104">
        <f t="shared" si="33"/>
        <v>-0.857200623490195</v>
      </c>
      <c r="X63" s="103">
        <v>9.2895805035016</v>
      </c>
      <c r="Y63" s="104">
        <f t="shared" si="34"/>
        <v>-0.7230007552158</v>
      </c>
      <c r="Z63" s="103">
        <v>15.3811313477997</v>
      </c>
      <c r="AA63" s="104">
        <f t="shared" si="35"/>
        <v>-0.631359126735573</v>
      </c>
      <c r="AB63" s="103">
        <v>9.71412975333042</v>
      </c>
      <c r="AC63" s="104">
        <f t="shared" si="36"/>
        <v>-0.777768286757857</v>
      </c>
      <c r="AD63" s="103">
        <v>12.3231856250604</v>
      </c>
      <c r="AE63" s="104">
        <f t="shared" si="37"/>
        <v>-0.720177137610852</v>
      </c>
      <c r="AF63" s="103">
        <v>14.2146463566481</v>
      </c>
      <c r="AG63" s="104">
        <f t="shared" si="38"/>
        <v>-0.860465933897239</v>
      </c>
      <c r="AH63" s="103">
        <v>16.6863708335298</v>
      </c>
      <c r="AI63" s="104">
        <f t="shared" si="39"/>
        <v>-0.707684219499511</v>
      </c>
      <c r="AJ63" s="103">
        <v>15.7597790146077</v>
      </c>
      <c r="AK63" s="104">
        <f t="shared" si="40"/>
        <v>-0.858377422658983</v>
      </c>
      <c r="AL63" s="103">
        <v>14.8163962310211</v>
      </c>
      <c r="AM63" s="104">
        <f t="shared" si="41"/>
        <v>-0.698482425731471</v>
      </c>
      <c r="AN63" s="103">
        <v>22.0368274270582</v>
      </c>
      <c r="AO63" s="104">
        <f t="shared" si="42"/>
        <v>-0.579980823233917</v>
      </c>
      <c r="AP63" s="103">
        <v>36.1563843289186</v>
      </c>
      <c r="AQ63" s="104">
        <f t="shared" si="43"/>
        <v>-0.274522342974811</v>
      </c>
      <c r="AR63" s="103">
        <v>67.3976809231278</v>
      </c>
      <c r="AS63" s="104">
        <f t="shared" si="44"/>
        <v>0.210511648386848</v>
      </c>
      <c r="AT63" s="103">
        <f t="shared" si="45"/>
        <v>241.241719555246</v>
      </c>
      <c r="AU63" s="104">
        <f t="shared" si="46"/>
        <v>-0.65171102505625</v>
      </c>
      <c r="AV63" s="104"/>
      <c r="AW63" s="103">
        <v>52.2803908049953</v>
      </c>
      <c r="AX63" s="104"/>
      <c r="AY63" s="103">
        <v>33.5364831436229</v>
      </c>
      <c r="AZ63" s="104"/>
      <c r="BA63" s="103">
        <v>41.7238902772639</v>
      </c>
      <c r="BB63" s="104"/>
      <c r="BC63" s="103">
        <v>43.7117169804921</v>
      </c>
      <c r="BD63" s="104"/>
      <c r="BE63" s="103">
        <v>44.0392379659194</v>
      </c>
      <c r="BF63" s="104"/>
      <c r="BG63" s="103">
        <v>101.872229152841</v>
      </c>
      <c r="BH63" s="104"/>
      <c r="BI63" s="103">
        <v>57.0833733470023</v>
      </c>
      <c r="BJ63" s="104"/>
      <c r="BK63" s="103">
        <v>111.280131392181</v>
      </c>
      <c r="BL63" s="104"/>
      <c r="BM63" s="103">
        <v>49.139411747276</v>
      </c>
      <c r="BN63" s="104"/>
      <c r="BO63" s="103">
        <v>52.4662411767235</v>
      </c>
      <c r="BP63" s="104"/>
      <c r="BQ63" s="103">
        <v>49.8380397780648</v>
      </c>
      <c r="BR63" s="104"/>
      <c r="BS63" s="103">
        <v>55.677019723803</v>
      </c>
      <c r="BT63" s="104"/>
      <c r="BU63" s="103">
        <f t="shared" si="47"/>
        <v>692.648165490185</v>
      </c>
      <c r="BV63" s="104"/>
      <c r="BW63" s="162"/>
      <c r="BX63" s="167"/>
      <c r="BY63" s="167"/>
      <c r="BZ63" s="167"/>
      <c r="CA63" s="167"/>
      <c r="CB63" s="167"/>
      <c r="CC63" s="167"/>
      <c r="CD63" s="167"/>
      <c r="CE63" s="167"/>
      <c r="CF63" s="167"/>
      <c r="CG63" s="167"/>
      <c r="CH63" s="167"/>
      <c r="CI63" s="167"/>
      <c r="CJ63" s="146"/>
    </row>
    <row r="64" ht="28.8" customHeight="1" spans="1:88">
      <c r="A64" s="29"/>
      <c r="B64" s="141" t="s">
        <v>276</v>
      </c>
      <c r="C64" s="103">
        <v>222.192394128701</v>
      </c>
      <c r="D64" s="104">
        <f t="shared" si="24"/>
        <v>11.6735590965284</v>
      </c>
      <c r="E64" s="103">
        <v>326.624704813594</v>
      </c>
      <c r="F64" s="104">
        <f t="shared" si="25"/>
        <v>14.6465799190917</v>
      </c>
      <c r="G64" s="103">
        <v>289.897613383723</v>
      </c>
      <c r="H64" s="104">
        <f t="shared" si="26"/>
        <v>7.32150565494152</v>
      </c>
      <c r="I64" s="103">
        <v>284.282528384247</v>
      </c>
      <c r="J64" s="104">
        <f t="shared" si="27"/>
        <v>11.510746518125</v>
      </c>
      <c r="K64" s="103">
        <v>323.507075050946</v>
      </c>
      <c r="L64" s="104">
        <f t="shared" si="28"/>
        <v>10.3170482341822</v>
      </c>
      <c r="M64" s="103">
        <v>308.7143659711</v>
      </c>
      <c r="N64" s="104">
        <f t="shared" si="29"/>
        <v>8.14835249973833</v>
      </c>
      <c r="O64" s="103">
        <v>321.375147125271</v>
      </c>
      <c r="P64" s="104">
        <f t="shared" si="30"/>
        <v>7.20463727256613</v>
      </c>
      <c r="Q64" s="127"/>
      <c r="R64" s="127"/>
      <c r="S64" s="103">
        <f t="shared" si="31"/>
        <v>2076.59382885758</v>
      </c>
      <c r="T64" s="104">
        <f t="shared" si="32"/>
        <v>7.80360799243845</v>
      </c>
      <c r="U64" s="103"/>
      <c r="V64" s="103">
        <v>17.5319649702478</v>
      </c>
      <c r="W64" s="104">
        <f t="shared" si="33"/>
        <v>-0.888071512550469</v>
      </c>
      <c r="X64" s="103">
        <v>20.8751501288184</v>
      </c>
      <c r="Y64" s="104">
        <f t="shared" si="34"/>
        <v>-0.816316315357253</v>
      </c>
      <c r="Z64" s="103">
        <v>34.8371587311936</v>
      </c>
      <c r="AA64" s="104">
        <f t="shared" si="35"/>
        <v>-0.607668754800792</v>
      </c>
      <c r="AB64" s="103">
        <v>22.7230667628339</v>
      </c>
      <c r="AC64" s="104">
        <f t="shared" si="36"/>
        <v>-0.756610030692013</v>
      </c>
      <c r="AD64" s="103">
        <v>28.5858174637642</v>
      </c>
      <c r="AE64" s="104">
        <f t="shared" si="37"/>
        <v>-0.696553758651671</v>
      </c>
      <c r="AF64" s="103">
        <v>33.7453509776684</v>
      </c>
      <c r="AG64" s="104">
        <f t="shared" si="38"/>
        <v>-0.86837369169201</v>
      </c>
      <c r="AH64" s="103">
        <v>39.1699396876269</v>
      </c>
      <c r="AI64" s="104">
        <f t="shared" si="39"/>
        <v>-0.731551722739279</v>
      </c>
      <c r="AJ64" s="103">
        <v>38.4114121986419</v>
      </c>
      <c r="AK64" s="104">
        <f t="shared" si="40"/>
        <v>-0.875263256747463</v>
      </c>
      <c r="AL64" s="103">
        <v>35.3940515004523</v>
      </c>
      <c r="AM64" s="104">
        <f t="shared" si="41"/>
        <v>-0.724357107098194</v>
      </c>
      <c r="AN64" s="103">
        <v>57.780070239012</v>
      </c>
      <c r="AO64" s="104">
        <f t="shared" si="42"/>
        <v>-0.577060959369838</v>
      </c>
      <c r="AP64" s="103">
        <v>95.5383642033319</v>
      </c>
      <c r="AQ64" s="104">
        <f t="shared" si="43"/>
        <v>-0.282744907783666</v>
      </c>
      <c r="AR64" s="103">
        <v>182.020509829411</v>
      </c>
      <c r="AS64" s="104">
        <f t="shared" si="44"/>
        <v>0.154227008938022</v>
      </c>
      <c r="AT64" s="103">
        <f t="shared" si="45"/>
        <v>606.612856693002</v>
      </c>
      <c r="AU64" s="104">
        <f t="shared" si="46"/>
        <v>-0.665370092517799</v>
      </c>
      <c r="AV64" s="104"/>
      <c r="AW64" s="103">
        <v>156.635414001758</v>
      </c>
      <c r="AX64" s="104"/>
      <c r="AY64" s="103">
        <v>113.647274494843</v>
      </c>
      <c r="AZ64" s="104"/>
      <c r="BA64" s="103">
        <v>88.7952697050802</v>
      </c>
      <c r="BB64" s="104"/>
      <c r="BC64" s="103">
        <v>93.3607363830183</v>
      </c>
      <c r="BD64" s="104"/>
      <c r="BE64" s="103">
        <v>94.2038937004009</v>
      </c>
      <c r="BF64" s="104"/>
      <c r="BG64" s="103">
        <v>256.372387947766</v>
      </c>
      <c r="BH64" s="104"/>
      <c r="BI64" s="103">
        <v>145.912427106338</v>
      </c>
      <c r="BJ64" s="104"/>
      <c r="BK64" s="103">
        <v>307.939835505211</v>
      </c>
      <c r="BL64" s="104"/>
      <c r="BM64" s="103">
        <v>128.405456523274</v>
      </c>
      <c r="BN64" s="104"/>
      <c r="BO64" s="103">
        <v>136.615598675691</v>
      </c>
      <c r="BP64" s="104"/>
      <c r="BQ64" s="103">
        <v>133.199980369768</v>
      </c>
      <c r="BR64" s="104"/>
      <c r="BS64" s="103">
        <v>157.699056095459</v>
      </c>
      <c r="BT64" s="104"/>
      <c r="BU64" s="103">
        <f t="shared" si="47"/>
        <v>1812.78733050861</v>
      </c>
      <c r="BV64" s="104"/>
      <c r="BW64" s="162"/>
      <c r="BX64" s="167"/>
      <c r="BY64" s="167"/>
      <c r="BZ64" s="167"/>
      <c r="CA64" s="167"/>
      <c r="CB64" s="167"/>
      <c r="CC64" s="167"/>
      <c r="CD64" s="167"/>
      <c r="CE64" s="167"/>
      <c r="CF64" s="167"/>
      <c r="CG64" s="167"/>
      <c r="CH64" s="167"/>
      <c r="CI64" s="167"/>
      <c r="CJ64" s="146"/>
    </row>
    <row r="65" ht="28.8" customHeight="1" spans="1:88">
      <c r="A65" s="166" t="s">
        <v>108</v>
      </c>
      <c r="B65" s="141" t="s">
        <v>282</v>
      </c>
      <c r="C65" s="103">
        <v>42.2123359481371</v>
      </c>
      <c r="D65" s="104">
        <f t="shared" si="24"/>
        <v>4.49543814435023</v>
      </c>
      <c r="E65" s="103">
        <v>43.8634253741071</v>
      </c>
      <c r="F65" s="104">
        <f t="shared" si="25"/>
        <v>4.15421068734293</v>
      </c>
      <c r="G65" s="103">
        <v>40.4403228687599</v>
      </c>
      <c r="H65" s="104">
        <f t="shared" si="26"/>
        <v>1.33539412363837</v>
      </c>
      <c r="I65" s="103">
        <v>40.7578603708291</v>
      </c>
      <c r="J65" s="104">
        <f t="shared" si="27"/>
        <v>2.72370185171558</v>
      </c>
      <c r="K65" s="103">
        <v>43.9654713064558</v>
      </c>
      <c r="L65" s="104">
        <f t="shared" si="28"/>
        <v>2.17719411180649</v>
      </c>
      <c r="M65" s="103">
        <v>41.4681287348373</v>
      </c>
      <c r="N65" s="104">
        <f t="shared" si="29"/>
        <v>1.69631076211523</v>
      </c>
      <c r="O65" s="103">
        <v>43.7199693644209</v>
      </c>
      <c r="P65" s="104">
        <f t="shared" si="30"/>
        <v>1.55653784565431</v>
      </c>
      <c r="Q65" s="127"/>
      <c r="R65" s="127"/>
      <c r="S65" s="103">
        <f t="shared" si="31"/>
        <v>296.427513967547</v>
      </c>
      <c r="T65" s="104">
        <f t="shared" si="32"/>
        <v>1.74666347576933</v>
      </c>
      <c r="U65" s="103"/>
      <c r="V65" s="103">
        <v>7.68134129423964</v>
      </c>
      <c r="W65" s="104">
        <f t="shared" si="33"/>
        <v>-0.593716269844849</v>
      </c>
      <c r="X65" s="103">
        <v>8.51021194803337</v>
      </c>
      <c r="Y65" s="104">
        <f t="shared" si="34"/>
        <v>-0.34728906451029</v>
      </c>
      <c r="Z65" s="103">
        <v>17.3162732831394</v>
      </c>
      <c r="AA65" s="104">
        <f t="shared" si="35"/>
        <v>0.0308522628106405</v>
      </c>
      <c r="AB65" s="103">
        <v>10.945521954732</v>
      </c>
      <c r="AC65" s="104">
        <f t="shared" si="36"/>
        <v>-0.422639849447893</v>
      </c>
      <c r="AD65" s="103">
        <v>13.8378297829143</v>
      </c>
      <c r="AE65" s="104">
        <f t="shared" si="37"/>
        <v>-0.345786257206473</v>
      </c>
      <c r="AF65" s="103">
        <v>15.3795806171489</v>
      </c>
      <c r="AG65" s="104">
        <f t="shared" si="38"/>
        <v>-0.703593389157554</v>
      </c>
      <c r="AH65" s="103">
        <v>17.1012408201731</v>
      </c>
      <c r="AI65" s="104">
        <f t="shared" si="39"/>
        <v>-0.395407946189663</v>
      </c>
      <c r="AJ65" s="103">
        <v>17.1507642576317</v>
      </c>
      <c r="AK65" s="104">
        <f t="shared" si="40"/>
        <v>-0.689022946315794</v>
      </c>
      <c r="AL65" s="103">
        <v>15.8499522562651</v>
      </c>
      <c r="AM65" s="104">
        <f t="shared" si="41"/>
        <v>-0.422986586033109</v>
      </c>
      <c r="AN65" s="103">
        <v>21.9204152292871</v>
      </c>
      <c r="AO65" s="104">
        <f t="shared" si="42"/>
        <v>-0.238916585187559</v>
      </c>
      <c r="AP65" s="103">
        <v>24.7910472525403</v>
      </c>
      <c r="AQ65" s="104">
        <f t="shared" si="43"/>
        <v>0.0788136330973377</v>
      </c>
      <c r="AR65" s="103">
        <v>37.6921023334109</v>
      </c>
      <c r="AS65" s="104">
        <f t="shared" si="44"/>
        <v>0.589606763141347</v>
      </c>
      <c r="AT65" s="103">
        <f t="shared" si="45"/>
        <v>208.176281029516</v>
      </c>
      <c r="AU65" s="104">
        <f t="shared" si="46"/>
        <v>-0.363643774983595</v>
      </c>
      <c r="AV65" s="104"/>
      <c r="AW65" s="103">
        <v>18.9063472743698</v>
      </c>
      <c r="AX65" s="104"/>
      <c r="AY65" s="103">
        <v>13.0382555053232</v>
      </c>
      <c r="AZ65" s="104"/>
      <c r="BA65" s="103">
        <v>16.7980164644798</v>
      </c>
      <c r="BB65" s="104"/>
      <c r="BC65" s="103">
        <v>18.9578756764997</v>
      </c>
      <c r="BD65" s="104"/>
      <c r="BE65" s="103">
        <v>21.1518482076302</v>
      </c>
      <c r="BF65" s="104"/>
      <c r="BG65" s="103">
        <v>51.8867665381589</v>
      </c>
      <c r="BH65" s="104"/>
      <c r="BI65" s="103">
        <v>28.285586475038</v>
      </c>
      <c r="BJ65" s="104"/>
      <c r="BK65" s="103">
        <v>55.1512211413776</v>
      </c>
      <c r="BL65" s="104"/>
      <c r="BM65" s="103">
        <v>27.4689493738088</v>
      </c>
      <c r="BN65" s="104"/>
      <c r="BO65" s="103">
        <v>28.8015936264872</v>
      </c>
      <c r="BP65" s="104"/>
      <c r="BQ65" s="103">
        <v>22.9799165416215</v>
      </c>
      <c r="BR65" s="104"/>
      <c r="BS65" s="103">
        <v>23.7115890592492</v>
      </c>
      <c r="BT65" s="104"/>
      <c r="BU65" s="103">
        <f t="shared" si="47"/>
        <v>327.137965884044</v>
      </c>
      <c r="BV65" s="104"/>
      <c r="BW65" s="162"/>
      <c r="BX65" s="93"/>
      <c r="BY65" s="93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146"/>
    </row>
    <row r="66" ht="28.8" customHeight="1" spans="1:88">
      <c r="A66" s="45"/>
      <c r="B66" s="141" t="s">
        <v>283</v>
      </c>
      <c r="C66" s="103">
        <v>185.586252625667</v>
      </c>
      <c r="D66" s="104">
        <f t="shared" si="24"/>
        <v>3.63263879904134</v>
      </c>
      <c r="E66" s="103">
        <v>197.398965404918</v>
      </c>
      <c r="F66" s="104">
        <f t="shared" si="25"/>
        <v>3.49075336152451</v>
      </c>
      <c r="G66" s="103">
        <v>180.029129905708</v>
      </c>
      <c r="H66" s="104">
        <f t="shared" si="26"/>
        <v>1.00452930501676</v>
      </c>
      <c r="I66" s="103">
        <v>183.004941137292</v>
      </c>
      <c r="J66" s="104">
        <f t="shared" si="27"/>
        <v>2.19880617592856</v>
      </c>
      <c r="K66" s="103">
        <v>198.124234889893</v>
      </c>
      <c r="L66" s="104">
        <f t="shared" si="28"/>
        <v>1.74722181273888</v>
      </c>
      <c r="M66" s="103">
        <v>185.555056882065</v>
      </c>
      <c r="N66" s="104">
        <f t="shared" si="29"/>
        <v>1.32182480251045</v>
      </c>
      <c r="O66" s="103">
        <v>194.967298371153</v>
      </c>
      <c r="P66" s="104">
        <f t="shared" si="30"/>
        <v>1.18691460457973</v>
      </c>
      <c r="Q66" s="127"/>
      <c r="R66" s="127"/>
      <c r="S66" s="103">
        <f t="shared" si="31"/>
        <v>1324.6658792167</v>
      </c>
      <c r="T66" s="104">
        <f t="shared" si="32"/>
        <v>1.40019039280171</v>
      </c>
      <c r="U66" s="103"/>
      <c r="V66" s="103">
        <v>40.0605919598289</v>
      </c>
      <c r="W66" s="104">
        <f t="shared" si="33"/>
        <v>-0.583182776386056</v>
      </c>
      <c r="X66" s="103">
        <v>43.9567594818669</v>
      </c>
      <c r="Y66" s="104">
        <f t="shared" si="34"/>
        <v>-0.347120461739573</v>
      </c>
      <c r="Z66" s="103">
        <v>89.8111738527078</v>
      </c>
      <c r="AA66" s="104">
        <f t="shared" si="35"/>
        <v>0.0631622841624431</v>
      </c>
      <c r="AB66" s="103">
        <v>57.2103875859777</v>
      </c>
      <c r="AC66" s="104">
        <f t="shared" si="36"/>
        <v>-0.409307481745205</v>
      </c>
      <c r="AD66" s="103">
        <v>72.1180335607377</v>
      </c>
      <c r="AE66" s="104">
        <f t="shared" si="37"/>
        <v>-0.333600244315499</v>
      </c>
      <c r="AF66" s="103">
        <v>79.9177684213881</v>
      </c>
      <c r="AG66" s="104">
        <f t="shared" si="38"/>
        <v>-0.706774355530038</v>
      </c>
      <c r="AH66" s="103">
        <v>89.1517656715367</v>
      </c>
      <c r="AI66" s="104">
        <f t="shared" si="39"/>
        <v>-0.406489425154358</v>
      </c>
      <c r="AJ66" s="103">
        <v>79.6738533683985</v>
      </c>
      <c r="AK66" s="104">
        <f t="shared" si="40"/>
        <v>-0.733739524905914</v>
      </c>
      <c r="AL66" s="103">
        <v>73.033835732679</v>
      </c>
      <c r="AM66" s="104">
        <f t="shared" si="41"/>
        <v>-0.501063654900159</v>
      </c>
      <c r="AN66" s="103">
        <v>103.019351909873</v>
      </c>
      <c r="AO66" s="104">
        <f t="shared" si="42"/>
        <v>-0.329934699070964</v>
      </c>
      <c r="AP66" s="103">
        <v>116.375283070786</v>
      </c>
      <c r="AQ66" s="104">
        <f t="shared" si="43"/>
        <v>-0.0581883775636933</v>
      </c>
      <c r="AR66" s="103">
        <v>178.148587469194</v>
      </c>
      <c r="AS66" s="104">
        <f t="shared" si="44"/>
        <v>0.38170988879311</v>
      </c>
      <c r="AT66" s="103">
        <f t="shared" si="45"/>
        <v>1022.47739208497</v>
      </c>
      <c r="AU66" s="104">
        <f t="shared" si="46"/>
        <v>-0.408151856617511</v>
      </c>
      <c r="AV66" s="104"/>
      <c r="AW66" s="103">
        <v>96.1106923857182</v>
      </c>
      <c r="AX66" s="104"/>
      <c r="AY66" s="103">
        <v>67.3275189462792</v>
      </c>
      <c r="AZ66" s="104"/>
      <c r="BA66" s="103">
        <v>84.4755078228352</v>
      </c>
      <c r="BB66" s="104"/>
      <c r="BC66" s="103">
        <v>96.8530763772092</v>
      </c>
      <c r="BD66" s="104"/>
      <c r="BE66" s="103">
        <v>108.220378152241</v>
      </c>
      <c r="BF66" s="104"/>
      <c r="BG66" s="103">
        <v>272.546995559847</v>
      </c>
      <c r="BH66" s="104"/>
      <c r="BI66" s="103">
        <v>150.21091358772</v>
      </c>
      <c r="BJ66" s="104"/>
      <c r="BK66" s="103">
        <v>299.232746956697</v>
      </c>
      <c r="BL66" s="104"/>
      <c r="BM66" s="103">
        <v>146.379065085075</v>
      </c>
      <c r="BN66" s="104"/>
      <c r="BO66" s="103">
        <v>153.745242093626</v>
      </c>
      <c r="BP66" s="104"/>
      <c r="BQ66" s="103">
        <v>123.565350329552</v>
      </c>
      <c r="BR66" s="104"/>
      <c r="BS66" s="103">
        <v>128.933424385348</v>
      </c>
      <c r="BT66" s="104"/>
      <c r="BU66" s="103">
        <f t="shared" si="47"/>
        <v>1727.60091168215</v>
      </c>
      <c r="BV66" s="104"/>
      <c r="BW66" s="162"/>
      <c r="BX66" s="165"/>
      <c r="BY66" s="165"/>
      <c r="BZ66" s="165"/>
      <c r="CA66" s="165"/>
      <c r="CB66" s="165"/>
      <c r="CC66" s="165"/>
      <c r="CD66" s="165"/>
      <c r="CE66" s="165"/>
      <c r="CF66" s="165"/>
      <c r="CG66" s="165"/>
      <c r="CH66" s="165"/>
      <c r="CI66" s="165"/>
      <c r="CJ66" s="146"/>
    </row>
    <row r="67" ht="28.8" customHeight="1" spans="1:88">
      <c r="A67" s="45"/>
      <c r="B67" s="141" t="s">
        <v>284</v>
      </c>
      <c r="C67" s="103">
        <v>36.2705667332523</v>
      </c>
      <c r="D67" s="104">
        <f t="shared" si="24"/>
        <v>4.66674033208676</v>
      </c>
      <c r="E67" s="103">
        <v>38.1389759866394</v>
      </c>
      <c r="F67" s="104">
        <f t="shared" si="25"/>
        <v>4.54676533627979</v>
      </c>
      <c r="G67" s="103">
        <v>34.9097360931583</v>
      </c>
      <c r="H67" s="104">
        <f t="shared" si="26"/>
        <v>1.49038240472984</v>
      </c>
      <c r="I67" s="103">
        <v>34.8658276104116</v>
      </c>
      <c r="J67" s="104">
        <f t="shared" si="27"/>
        <v>2.96020096735913</v>
      </c>
      <c r="K67" s="103">
        <v>36.734099571316</v>
      </c>
      <c r="L67" s="104">
        <f t="shared" si="28"/>
        <v>2.26201349736632</v>
      </c>
      <c r="M67" s="103">
        <v>34.9270485053494</v>
      </c>
      <c r="N67" s="104">
        <f t="shared" si="29"/>
        <v>1.72441525174057</v>
      </c>
      <c r="O67" s="103">
        <v>36.3289429257555</v>
      </c>
      <c r="P67" s="104">
        <f t="shared" si="30"/>
        <v>1.65716652618803</v>
      </c>
      <c r="Q67" s="127"/>
      <c r="R67" s="127"/>
      <c r="S67" s="103">
        <f t="shared" si="31"/>
        <v>252.175197425883</v>
      </c>
      <c r="T67" s="104">
        <f t="shared" si="32"/>
        <v>1.84976964860506</v>
      </c>
      <c r="U67" s="103"/>
      <c r="V67" s="103">
        <v>6.40060504058702</v>
      </c>
      <c r="W67" s="104">
        <f t="shared" si="33"/>
        <v>-0.598641855276812</v>
      </c>
      <c r="X67" s="103">
        <v>6.87589499003742</v>
      </c>
      <c r="Y67" s="104">
        <f t="shared" si="34"/>
        <v>-0.379733022574624</v>
      </c>
      <c r="Z67" s="103">
        <v>14.0178215308847</v>
      </c>
      <c r="AA67" s="104">
        <f t="shared" si="35"/>
        <v>0.000156675351975943</v>
      </c>
      <c r="AB67" s="103">
        <v>8.80405512189498</v>
      </c>
      <c r="AC67" s="104">
        <f t="shared" si="36"/>
        <v>-0.429594093235422</v>
      </c>
      <c r="AD67" s="103">
        <v>11.2611733829349</v>
      </c>
      <c r="AE67" s="104">
        <f t="shared" si="37"/>
        <v>-0.347710225961894</v>
      </c>
      <c r="AF67" s="103">
        <v>12.8200165092437</v>
      </c>
      <c r="AG67" s="104">
        <f t="shared" si="38"/>
        <v>-0.70347385928796</v>
      </c>
      <c r="AH67" s="103">
        <v>13.6720610348321</v>
      </c>
      <c r="AI67" s="104">
        <f t="shared" si="39"/>
        <v>-0.418338689472072</v>
      </c>
      <c r="AJ67" s="103">
        <v>14.6380499848674</v>
      </c>
      <c r="AK67" s="104">
        <f t="shared" si="40"/>
        <v>-0.686513338343392</v>
      </c>
      <c r="AL67" s="103">
        <v>13.444517813719</v>
      </c>
      <c r="AM67" s="104">
        <f t="shared" si="41"/>
        <v>-0.414722575525077</v>
      </c>
      <c r="AN67" s="103">
        <v>18.0882514018991</v>
      </c>
      <c r="AO67" s="104">
        <f t="shared" si="42"/>
        <v>-0.237637041139345</v>
      </c>
      <c r="AP67" s="103">
        <v>21.6339548531215</v>
      </c>
      <c r="AQ67" s="104">
        <f t="shared" si="43"/>
        <v>0.129255864509196</v>
      </c>
      <c r="AR67" s="103">
        <v>32.873090789387</v>
      </c>
      <c r="AS67" s="104">
        <f t="shared" si="44"/>
        <v>0.642864879653631</v>
      </c>
      <c r="AT67" s="103">
        <f t="shared" si="45"/>
        <v>174.529492453409</v>
      </c>
      <c r="AU67" s="104">
        <f t="shared" si="46"/>
        <v>-0.360804991156575</v>
      </c>
      <c r="AV67" s="104"/>
      <c r="AW67" s="103">
        <v>15.9473655256241</v>
      </c>
      <c r="AX67" s="104"/>
      <c r="AY67" s="103">
        <v>11.0853797482144</v>
      </c>
      <c r="AZ67" s="104"/>
      <c r="BA67" s="103">
        <v>14.0156256278063</v>
      </c>
      <c r="BB67" s="104"/>
      <c r="BC67" s="103">
        <v>15.4347194120636</v>
      </c>
      <c r="BD67" s="104"/>
      <c r="BE67" s="103">
        <v>17.2640654984069</v>
      </c>
      <c r="BF67" s="104"/>
      <c r="BG67" s="103">
        <v>43.2340180142612</v>
      </c>
      <c r="BH67" s="104"/>
      <c r="BI67" s="103">
        <v>23.5051924330725</v>
      </c>
      <c r="BJ67" s="104"/>
      <c r="BK67" s="103">
        <v>46.6943311320271</v>
      </c>
      <c r="BL67" s="104"/>
      <c r="BM67" s="103">
        <v>22.971188109264</v>
      </c>
      <c r="BN67" s="104"/>
      <c r="BO67" s="103">
        <v>23.7265612024643</v>
      </c>
      <c r="BP67" s="104"/>
      <c r="BQ67" s="103">
        <v>19.1577086584573</v>
      </c>
      <c r="BR67" s="104"/>
      <c r="BS67" s="103">
        <v>20.0096132046585</v>
      </c>
      <c r="BT67" s="104"/>
      <c r="BU67" s="103">
        <f t="shared" si="47"/>
        <v>273.04576856632</v>
      </c>
      <c r="BV67" s="104"/>
      <c r="BW67" s="162"/>
      <c r="BX67" s="167"/>
      <c r="BY67" s="167"/>
      <c r="BZ67" s="167"/>
      <c r="CA67" s="167"/>
      <c r="CB67" s="167"/>
      <c r="CC67" s="167"/>
      <c r="CD67" s="167"/>
      <c r="CE67" s="167"/>
      <c r="CF67" s="167"/>
      <c r="CG67" s="167"/>
      <c r="CH67" s="167"/>
      <c r="CI67" s="167"/>
      <c r="CJ67" s="146"/>
    </row>
    <row r="68" ht="28.8" customHeight="1" spans="1:88">
      <c r="A68" s="29"/>
      <c r="B68" s="141" t="s">
        <v>276</v>
      </c>
      <c r="C68" s="103">
        <v>65.2463847366812</v>
      </c>
      <c r="D68" s="104">
        <f t="shared" si="24"/>
        <v>4.90349057455559</v>
      </c>
      <c r="E68" s="103">
        <v>74.3580274507499</v>
      </c>
      <c r="F68" s="104">
        <f t="shared" si="25"/>
        <v>5.54491526903407</v>
      </c>
      <c r="G68" s="103">
        <v>66.4798483205286</v>
      </c>
      <c r="H68" s="104">
        <f t="shared" si="26"/>
        <v>1.84769816472334</v>
      </c>
      <c r="I68" s="103">
        <v>67.8742248193257</v>
      </c>
      <c r="J68" s="104">
        <f t="shared" si="27"/>
        <v>3.4822697926224</v>
      </c>
      <c r="K68" s="103">
        <v>72.3492128335631</v>
      </c>
      <c r="L68" s="104">
        <f t="shared" si="28"/>
        <v>2.76670360492178</v>
      </c>
      <c r="M68" s="103">
        <v>67.0500635364118</v>
      </c>
      <c r="N68" s="104">
        <f t="shared" si="29"/>
        <v>1.99620571165767</v>
      </c>
      <c r="O68" s="103">
        <v>69.270591785527</v>
      </c>
      <c r="P68" s="104">
        <f t="shared" si="30"/>
        <v>1.93536969287335</v>
      </c>
      <c r="Q68" s="127"/>
      <c r="R68" s="127"/>
      <c r="S68" s="103">
        <f t="shared" si="31"/>
        <v>482.628353482787</v>
      </c>
      <c r="T68" s="104">
        <f t="shared" si="32"/>
        <v>2.26757944046883</v>
      </c>
      <c r="U68" s="103"/>
      <c r="V68" s="103">
        <v>11.0521705612434</v>
      </c>
      <c r="W68" s="104">
        <f t="shared" si="33"/>
        <v>-0.56512409544058</v>
      </c>
      <c r="X68" s="103">
        <v>11.361190236115</v>
      </c>
      <c r="Y68" s="104">
        <f t="shared" si="34"/>
        <v>-0.431422592725385</v>
      </c>
      <c r="Z68" s="103">
        <v>23.345117521255</v>
      </c>
      <c r="AA68" s="104">
        <f t="shared" si="35"/>
        <v>0.0644308385024737</v>
      </c>
      <c r="AB68" s="103">
        <v>15.1428244973213</v>
      </c>
      <c r="AC68" s="104">
        <f t="shared" si="36"/>
        <v>-0.3752868386104</v>
      </c>
      <c r="AD68" s="103">
        <v>19.2075672582859</v>
      </c>
      <c r="AE68" s="104">
        <f t="shared" si="37"/>
        <v>-0.292642214750317</v>
      </c>
      <c r="AF68" s="103">
        <v>22.3783244506653</v>
      </c>
      <c r="AG68" s="104">
        <f t="shared" si="38"/>
        <v>-0.720278765545345</v>
      </c>
      <c r="AH68" s="103">
        <v>23.5985920116658</v>
      </c>
      <c r="AI68" s="104">
        <f t="shared" si="39"/>
        <v>-0.465831175815793</v>
      </c>
      <c r="AJ68" s="103">
        <v>21.6163159756185</v>
      </c>
      <c r="AK68" s="104">
        <f t="shared" si="40"/>
        <v>-0.772485968600799</v>
      </c>
      <c r="AL68" s="103">
        <v>19.4590318539552</v>
      </c>
      <c r="AM68" s="104">
        <f t="shared" si="41"/>
        <v>-0.559117203145524</v>
      </c>
      <c r="AN68" s="103">
        <v>28.7351774622812</v>
      </c>
      <c r="AO68" s="104">
        <f t="shared" si="42"/>
        <v>-0.367445929031136</v>
      </c>
      <c r="AP68" s="103">
        <v>34.6351465294693</v>
      </c>
      <c r="AQ68" s="104">
        <f t="shared" si="43"/>
        <v>-0.0800395334215582</v>
      </c>
      <c r="AR68" s="103">
        <v>53.7903308793702</v>
      </c>
      <c r="AS68" s="104">
        <f t="shared" si="44"/>
        <v>0.290777293531163</v>
      </c>
      <c r="AT68" s="103">
        <f t="shared" si="45"/>
        <v>284.321789237246</v>
      </c>
      <c r="AU68" s="104">
        <f t="shared" si="46"/>
        <v>-0.438984364901446</v>
      </c>
      <c r="AV68" s="104"/>
      <c r="AW68" s="103">
        <v>25.41453882675</v>
      </c>
      <c r="AX68" s="104"/>
      <c r="AY68" s="103">
        <v>19.9817827630068</v>
      </c>
      <c r="AZ68" s="104"/>
      <c r="BA68" s="103">
        <v>21.9320191381328</v>
      </c>
      <c r="BB68" s="104"/>
      <c r="BC68" s="103">
        <v>24.239643780896</v>
      </c>
      <c r="BD68" s="104"/>
      <c r="BE68" s="103">
        <v>27.1539631835762</v>
      </c>
      <c r="BF68" s="104"/>
      <c r="BG68" s="103">
        <v>80.0022368494624</v>
      </c>
      <c r="BH68" s="104"/>
      <c r="BI68" s="103">
        <v>44.1781529420142</v>
      </c>
      <c r="BJ68" s="104"/>
      <c r="BK68" s="103">
        <v>95.0109135804906</v>
      </c>
      <c r="BL68" s="104"/>
      <c r="BM68" s="103">
        <v>44.136518804516</v>
      </c>
      <c r="BN68" s="104"/>
      <c r="BO68" s="103">
        <v>45.427227143236</v>
      </c>
      <c r="BP68" s="104"/>
      <c r="BQ68" s="103">
        <v>37.6485162001427</v>
      </c>
      <c r="BR68" s="104"/>
      <c r="BS68" s="103">
        <v>41.6728208258271</v>
      </c>
      <c r="BT68" s="104"/>
      <c r="BU68" s="103">
        <f t="shared" si="47"/>
        <v>506.798334038051</v>
      </c>
      <c r="BV68" s="104"/>
      <c r="BW68" s="162"/>
      <c r="BX68" s="167"/>
      <c r="BY68" s="167"/>
      <c r="BZ68" s="167"/>
      <c r="CA68" s="167"/>
      <c r="CB68" s="167"/>
      <c r="CC68" s="167"/>
      <c r="CD68" s="167"/>
      <c r="CE68" s="167"/>
      <c r="CF68" s="167"/>
      <c r="CG68" s="167"/>
      <c r="CH68" s="167"/>
      <c r="CI68" s="167"/>
      <c r="CJ68" s="146"/>
    </row>
    <row r="69" ht="28.8" customHeight="1" spans="1:88">
      <c r="A69" s="166" t="s">
        <v>110</v>
      </c>
      <c r="B69" s="141" t="s">
        <v>282</v>
      </c>
      <c r="C69" s="103">
        <v>61.5321046572344</v>
      </c>
      <c r="D69" s="104">
        <f t="shared" ref="D69:D76" si="48">C69/V69-1</f>
        <v>8.54697623123463</v>
      </c>
      <c r="E69" s="103">
        <v>57.3189032160023</v>
      </c>
      <c r="F69" s="104">
        <f t="shared" ref="F69:F76" si="49">E69/X69-1</f>
        <v>6.41580230407368</v>
      </c>
      <c r="G69" s="103">
        <v>55.066204349967</v>
      </c>
      <c r="H69" s="104">
        <f t="shared" ref="H69:H76" si="50">G69/Z69-1</f>
        <v>2.35939654251109</v>
      </c>
      <c r="I69" s="103">
        <v>54.5293831520265</v>
      </c>
      <c r="J69" s="104">
        <f t="shared" ref="J69:J76" si="51">I69/AB69-1</f>
        <v>4.16921617055665</v>
      </c>
      <c r="K69" s="103">
        <v>59.0455161063803</v>
      </c>
      <c r="L69" s="104">
        <f t="shared" ref="L69:L76" si="52">K69/AD69-1</f>
        <v>3.38392478224191</v>
      </c>
      <c r="M69" s="103">
        <v>58.7355353930332</v>
      </c>
      <c r="N69" s="104">
        <f t="shared" ref="N69:N76" si="53">M69/AF69-1</f>
        <v>2.79112860725886</v>
      </c>
      <c r="O69" s="103">
        <v>63.3073656264309</v>
      </c>
      <c r="P69" s="104">
        <f t="shared" ref="P69:P76" si="54">O69/AH69-1</f>
        <v>2.4549105430489</v>
      </c>
      <c r="Q69" s="127"/>
      <c r="R69" s="127"/>
      <c r="S69" s="103">
        <f t="shared" ref="S69:S76" si="55">C69+E69+G69+I69+K69+M69+O69+Q69</f>
        <v>409.535012501075</v>
      </c>
      <c r="T69" s="104">
        <f t="shared" ref="T69:T76" si="56">S69/SUM(V69+X69+Z69+AB69+AD69+AF69+AH69+AJ69)-1</f>
        <v>2.80685524037932</v>
      </c>
      <c r="U69" s="103"/>
      <c r="V69" s="103">
        <v>6.44519302938256</v>
      </c>
      <c r="W69" s="104">
        <f t="shared" ref="W69:W76" si="57">V69/AW69-1</f>
        <v>-0.800429976021982</v>
      </c>
      <c r="X69" s="103">
        <v>7.72929224185435</v>
      </c>
      <c r="Y69" s="104">
        <f t="shared" ref="Y69:Y76" si="58">X69/AY69-1</f>
        <v>-0.557662845198634</v>
      </c>
      <c r="Z69" s="103">
        <v>16.3916952503636</v>
      </c>
      <c r="AA69" s="104">
        <f t="shared" ref="AA69:AA76" si="59">Z69/BA69-1</f>
        <v>-0.348285208474524</v>
      </c>
      <c r="AB69" s="103">
        <v>10.5488687941937</v>
      </c>
      <c r="AC69" s="104">
        <f t="shared" ref="AC69:AC76" si="60">AB69/BC69-1</f>
        <v>-0.600507176554223</v>
      </c>
      <c r="AD69" s="103">
        <v>13.4686426066336</v>
      </c>
      <c r="AE69" s="104">
        <f t="shared" ref="AE69:AE76" si="61">AD69/BE69-1</f>
        <v>-0.509680815856083</v>
      </c>
      <c r="AF69" s="103">
        <v>15.4928891835989</v>
      </c>
      <c r="AG69" s="104">
        <f t="shared" ref="AG69:AG76" si="62">AF69/BG69-1</f>
        <v>-0.767275545494893</v>
      </c>
      <c r="AH69" s="103">
        <v>18.323879833532</v>
      </c>
      <c r="AI69" s="104">
        <f t="shared" ref="AI69:AI76" si="63">AH69/BI69-1</f>
        <v>-0.502505719653767</v>
      </c>
      <c r="AJ69" s="103">
        <v>19.1778383761432</v>
      </c>
      <c r="AK69" s="104">
        <f t="shared" ref="AK69:AK76" si="64">AJ69/BK69-1</f>
        <v>-0.74121528569577</v>
      </c>
      <c r="AL69" s="103">
        <v>16.5683107743364</v>
      </c>
      <c r="AM69" s="104">
        <f t="shared" ref="AM69:AM76" si="65">AL69/BM69-1</f>
        <v>-0.46557079678838</v>
      </c>
      <c r="AN69" s="103">
        <v>24.2004963599226</v>
      </c>
      <c r="AO69" s="104">
        <f t="shared" ref="AO69:AO76" si="66">AN69/BO69-1</f>
        <v>-0.256781103414133</v>
      </c>
      <c r="AP69" s="103">
        <v>33.9434138816789</v>
      </c>
      <c r="AQ69" s="104">
        <f t="shared" ref="AQ69:AQ76" si="67">AP69/BQ69-1</f>
        <v>0.0995502610420667</v>
      </c>
      <c r="AR69" s="103">
        <v>52.8262767935381</v>
      </c>
      <c r="AS69" s="104">
        <f t="shared" ref="AS69:AS76" si="68">AR69/BS69-1</f>
        <v>0.557417054638711</v>
      </c>
      <c r="AT69" s="103">
        <f t="shared" ref="AT69:AT76" si="69">V69+X69+Z69+AB69+AD69+AF69+AH69+AJ69+AL69+AN69+AP69+AR69</f>
        <v>235.116797125178</v>
      </c>
      <c r="AU69" s="104">
        <f t="shared" ref="AU69:AU76" si="70">AT69/SUM(AW69,AY69,BA69,BC69,BE69,BG69,BI69,BK69,BM69,BO69,BQ69,BS69)-1</f>
        <v>-0.45907893662316</v>
      </c>
      <c r="AV69" s="104"/>
      <c r="AW69" s="103">
        <v>32.2953963772258</v>
      </c>
      <c r="AX69" s="104"/>
      <c r="AY69" s="103">
        <v>17.4737576483378</v>
      </c>
      <c r="AZ69" s="104"/>
      <c r="BA69" s="103">
        <v>25.1516391272866</v>
      </c>
      <c r="BB69" s="104"/>
      <c r="BC69" s="103">
        <v>26.405652805489</v>
      </c>
      <c r="BD69" s="104"/>
      <c r="BE69" s="103">
        <v>27.4691324390039</v>
      </c>
      <c r="BF69" s="104"/>
      <c r="BG69" s="103">
        <v>66.5718143653824</v>
      </c>
      <c r="BH69" s="104"/>
      <c r="BI69" s="103">
        <v>36.8323427171453</v>
      </c>
      <c r="BJ69" s="104"/>
      <c r="BK69" s="103">
        <v>74.1073074107366</v>
      </c>
      <c r="BL69" s="104"/>
      <c r="BM69" s="103">
        <v>31.0018813993886</v>
      </c>
      <c r="BN69" s="104"/>
      <c r="BO69" s="103">
        <v>32.5617344648968</v>
      </c>
      <c r="BP69" s="104"/>
      <c r="BQ69" s="103">
        <v>30.8702704044743</v>
      </c>
      <c r="BR69" s="104"/>
      <c r="BS69" s="103">
        <v>33.9191590564627</v>
      </c>
      <c r="BT69" s="104"/>
      <c r="BU69" s="103">
        <f t="shared" ref="BU69:BU76" si="71">AW69+AY69+BA69+BC69+BE69+BG69+BI69+BK69+BM69+BO69+BQ69+BS69</f>
        <v>434.66008821583</v>
      </c>
      <c r="BV69" s="104"/>
      <c r="BW69" s="162"/>
      <c r="BX69" s="93"/>
      <c r="BY69" s="93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146"/>
    </row>
    <row r="70" ht="28.8" customHeight="1" spans="1:88">
      <c r="A70" s="45"/>
      <c r="B70" s="141" t="s">
        <v>283</v>
      </c>
      <c r="C70" s="103">
        <v>266.637029834698</v>
      </c>
      <c r="D70" s="104">
        <f t="shared" si="48"/>
        <v>8.58497512012825</v>
      </c>
      <c r="E70" s="103">
        <v>254.24503258702</v>
      </c>
      <c r="F70" s="104">
        <f t="shared" si="49"/>
        <v>6.69509901567273</v>
      </c>
      <c r="G70" s="103">
        <v>241.615942296638</v>
      </c>
      <c r="H70" s="104">
        <f t="shared" si="50"/>
        <v>2.43409677679961</v>
      </c>
      <c r="I70" s="103">
        <v>241.320546262736</v>
      </c>
      <c r="J70" s="104">
        <f t="shared" si="51"/>
        <v>4.28855166812398</v>
      </c>
      <c r="K70" s="103">
        <v>262.255779926607</v>
      </c>
      <c r="L70" s="104">
        <f t="shared" si="52"/>
        <v>3.51452542783253</v>
      </c>
      <c r="M70" s="103">
        <v>259.042823095346</v>
      </c>
      <c r="N70" s="104">
        <f t="shared" si="53"/>
        <v>2.8880071120951</v>
      </c>
      <c r="O70" s="103">
        <v>278.25850203233</v>
      </c>
      <c r="P70" s="104">
        <f t="shared" si="54"/>
        <v>2.5197793405113</v>
      </c>
      <c r="Q70" s="127"/>
      <c r="R70" s="127"/>
      <c r="S70" s="103">
        <f t="shared" si="55"/>
        <v>1803.37565603537</v>
      </c>
      <c r="T70" s="104">
        <f t="shared" si="56"/>
        <v>2.88811412491973</v>
      </c>
      <c r="U70" s="103"/>
      <c r="V70" s="103">
        <v>27.8182286853062</v>
      </c>
      <c r="W70" s="104">
        <f t="shared" si="57"/>
        <v>-0.795255834440332</v>
      </c>
      <c r="X70" s="103">
        <v>33.0398649931853</v>
      </c>
      <c r="Y70" s="104">
        <f t="shared" si="58"/>
        <v>-0.557548584404407</v>
      </c>
      <c r="Z70" s="103">
        <v>70.3579304837795</v>
      </c>
      <c r="AA70" s="104">
        <f t="shared" si="59"/>
        <v>-0.327858499828549</v>
      </c>
      <c r="AB70" s="103">
        <v>45.6307438040669</v>
      </c>
      <c r="AC70" s="104">
        <f t="shared" si="60"/>
        <v>-0.591282111035464</v>
      </c>
      <c r="AD70" s="103">
        <v>58.0915500685348</v>
      </c>
      <c r="AE70" s="104">
        <f t="shared" si="61"/>
        <v>-0.500547660271251</v>
      </c>
      <c r="AF70" s="103">
        <v>66.6261186327299</v>
      </c>
      <c r="AG70" s="104">
        <f t="shared" si="62"/>
        <v>-0.769773089870611</v>
      </c>
      <c r="AH70" s="103">
        <v>79.0556665952555</v>
      </c>
      <c r="AI70" s="104">
        <f t="shared" si="63"/>
        <v>-0.511624219256877</v>
      </c>
      <c r="AJ70" s="103">
        <v>83.1974694974594</v>
      </c>
      <c r="AK70" s="104">
        <f t="shared" si="64"/>
        <v>-0.74997591143935</v>
      </c>
      <c r="AL70" s="103">
        <v>71.293921314118</v>
      </c>
      <c r="AM70" s="104">
        <f t="shared" si="65"/>
        <v>-0.478548059344135</v>
      </c>
      <c r="AN70" s="103">
        <v>106.211716809939</v>
      </c>
      <c r="AO70" s="104">
        <f t="shared" si="66"/>
        <v>-0.26164284382761</v>
      </c>
      <c r="AP70" s="103">
        <v>148.798829613245</v>
      </c>
      <c r="AQ70" s="104">
        <f t="shared" si="67"/>
        <v>0.0831723868142038</v>
      </c>
      <c r="AR70" s="103">
        <v>233.163272781632</v>
      </c>
      <c r="AS70" s="104">
        <f t="shared" si="68"/>
        <v>0.527555382043978</v>
      </c>
      <c r="AT70" s="103">
        <f t="shared" si="69"/>
        <v>1023.28531327925</v>
      </c>
      <c r="AU70" s="104">
        <f t="shared" si="70"/>
        <v>-0.46079931385309</v>
      </c>
      <c r="AV70" s="104"/>
      <c r="AW70" s="103">
        <v>135.868236387909</v>
      </c>
      <c r="AX70" s="104"/>
      <c r="AY70" s="103">
        <v>74.6745604796171</v>
      </c>
      <c r="AZ70" s="104"/>
      <c r="BA70" s="103">
        <v>104.67725987137</v>
      </c>
      <c r="BB70" s="104"/>
      <c r="BC70" s="103">
        <v>111.643617850126</v>
      </c>
      <c r="BD70" s="104"/>
      <c r="BE70" s="103">
        <v>116.310497414196</v>
      </c>
      <c r="BF70" s="104"/>
      <c r="BG70" s="103">
        <v>289.393271165762</v>
      </c>
      <c r="BH70" s="104"/>
      <c r="BI70" s="103">
        <v>161.874666419704</v>
      </c>
      <c r="BJ70" s="104"/>
      <c r="BK70" s="103">
        <v>332.757815362569</v>
      </c>
      <c r="BL70" s="104"/>
      <c r="BM70" s="103">
        <v>136.721940711251</v>
      </c>
      <c r="BN70" s="104"/>
      <c r="BO70" s="103">
        <v>143.848699673388</v>
      </c>
      <c r="BP70" s="104"/>
      <c r="BQ70" s="103">
        <v>137.373174782352</v>
      </c>
      <c r="BR70" s="104"/>
      <c r="BS70" s="103">
        <v>152.638179618498</v>
      </c>
      <c r="BT70" s="104"/>
      <c r="BU70" s="103">
        <f t="shared" si="71"/>
        <v>1897.78191973674</v>
      </c>
      <c r="BV70" s="104"/>
      <c r="BW70" s="162"/>
      <c r="BX70" s="165"/>
      <c r="BY70" s="165"/>
      <c r="BZ70" s="165"/>
      <c r="CA70" s="165"/>
      <c r="CB70" s="165"/>
      <c r="CC70" s="165"/>
      <c r="CD70" s="165"/>
      <c r="CE70" s="165"/>
      <c r="CF70" s="165"/>
      <c r="CG70" s="165"/>
      <c r="CH70" s="165"/>
      <c r="CI70" s="165"/>
      <c r="CJ70" s="146"/>
    </row>
    <row r="71" ht="28.8" customHeight="1" spans="1:88">
      <c r="A71" s="45"/>
      <c r="B71" s="141" t="s">
        <v>284</v>
      </c>
      <c r="C71" s="103">
        <v>43.8798818644246</v>
      </c>
      <c r="D71" s="104">
        <f t="shared" si="48"/>
        <v>8.34508239377202</v>
      </c>
      <c r="E71" s="103">
        <v>41.0563865106197</v>
      </c>
      <c r="F71" s="104">
        <f t="shared" si="49"/>
        <v>6.43013384110955</v>
      </c>
      <c r="G71" s="103">
        <v>39.3930567531785</v>
      </c>
      <c r="H71" s="104">
        <f t="shared" si="50"/>
        <v>2.39552784641162</v>
      </c>
      <c r="I71" s="103">
        <v>39.2051756039255</v>
      </c>
      <c r="J71" s="104">
        <f t="shared" si="51"/>
        <v>4.28480317618777</v>
      </c>
      <c r="K71" s="103">
        <v>42.5361039995644</v>
      </c>
      <c r="L71" s="104">
        <f t="shared" si="52"/>
        <v>3.46902936991162</v>
      </c>
      <c r="M71" s="103">
        <v>41.915113895736</v>
      </c>
      <c r="N71" s="104">
        <f t="shared" si="53"/>
        <v>2.73548163324221</v>
      </c>
      <c r="O71" s="103">
        <v>45.1177406286033</v>
      </c>
      <c r="P71" s="104">
        <f t="shared" si="54"/>
        <v>2.50838194140631</v>
      </c>
      <c r="Q71" s="127"/>
      <c r="R71" s="127"/>
      <c r="S71" s="103">
        <f t="shared" si="55"/>
        <v>293.103459256052</v>
      </c>
      <c r="T71" s="104">
        <f t="shared" si="56"/>
        <v>2.84669789739385</v>
      </c>
      <c r="U71" s="103"/>
      <c r="V71" s="103">
        <v>4.69550508122519</v>
      </c>
      <c r="W71" s="104">
        <f t="shared" si="57"/>
        <v>-0.794310183142362</v>
      </c>
      <c r="X71" s="103">
        <v>5.52565907809929</v>
      </c>
      <c r="Y71" s="104">
        <f t="shared" si="58"/>
        <v>-0.552028686055559</v>
      </c>
      <c r="Z71" s="103">
        <v>11.6014530096724</v>
      </c>
      <c r="AA71" s="104">
        <f t="shared" si="59"/>
        <v>-0.350539198713997</v>
      </c>
      <c r="AB71" s="103">
        <v>7.41847412228631</v>
      </c>
      <c r="AC71" s="104">
        <f t="shared" si="60"/>
        <v>-0.606265574095728</v>
      </c>
      <c r="AD71" s="103">
        <v>9.51797369825869</v>
      </c>
      <c r="AE71" s="104">
        <f t="shared" si="61"/>
        <v>-0.511562446583157</v>
      </c>
      <c r="AF71" s="103">
        <v>11.2208057784923</v>
      </c>
      <c r="AG71" s="104">
        <f t="shared" si="62"/>
        <v>-0.774628498446285</v>
      </c>
      <c r="AH71" s="103">
        <v>12.8599854240836</v>
      </c>
      <c r="AI71" s="104">
        <f t="shared" si="63"/>
        <v>-0.526389831616205</v>
      </c>
      <c r="AJ71" s="103">
        <v>13.3562650199563</v>
      </c>
      <c r="AK71" s="104">
        <f t="shared" si="64"/>
        <v>-0.758759641107912</v>
      </c>
      <c r="AL71" s="103">
        <v>11.6151455033445</v>
      </c>
      <c r="AM71" s="104">
        <f t="shared" si="65"/>
        <v>-0.490264554695076</v>
      </c>
      <c r="AN71" s="103">
        <v>17.3959142804617</v>
      </c>
      <c r="AO71" s="104">
        <f t="shared" si="66"/>
        <v>-0.272366492487944</v>
      </c>
      <c r="AP71" s="103">
        <v>24.6225851230085</v>
      </c>
      <c r="AQ71" s="104">
        <f t="shared" si="67"/>
        <v>0.0768528289335653</v>
      </c>
      <c r="AR71" s="103">
        <v>38.0539876962016</v>
      </c>
      <c r="AS71" s="104">
        <f t="shared" si="68"/>
        <v>0.474826380834186</v>
      </c>
      <c r="AT71" s="103">
        <f t="shared" si="69"/>
        <v>167.88375381509</v>
      </c>
      <c r="AU71" s="104">
        <f t="shared" si="70"/>
        <v>-0.473754857214131</v>
      </c>
      <c r="AV71" s="104"/>
      <c r="AW71" s="103">
        <v>22.8280872284263</v>
      </c>
      <c r="AX71" s="104"/>
      <c r="AY71" s="103">
        <v>12.3348502595963</v>
      </c>
      <c r="AZ71" s="104"/>
      <c r="BA71" s="103">
        <v>17.863207427916</v>
      </c>
      <c r="BB71" s="104"/>
      <c r="BC71" s="103">
        <v>18.8413144348469</v>
      </c>
      <c r="BD71" s="104"/>
      <c r="BE71" s="103">
        <v>19.486572299112</v>
      </c>
      <c r="BF71" s="104"/>
      <c r="BG71" s="103">
        <v>49.7880419713046</v>
      </c>
      <c r="BH71" s="104"/>
      <c r="BI71" s="103">
        <v>27.1531024512598</v>
      </c>
      <c r="BJ71" s="104"/>
      <c r="BK71" s="103">
        <v>55.3649691175051</v>
      </c>
      <c r="BL71" s="104"/>
      <c r="BM71" s="103">
        <v>22.7866153125693</v>
      </c>
      <c r="BN71" s="104"/>
      <c r="BO71" s="103">
        <v>23.9075222634294</v>
      </c>
      <c r="BP71" s="104"/>
      <c r="BQ71" s="103">
        <v>22.8653205539636</v>
      </c>
      <c r="BR71" s="104"/>
      <c r="BS71" s="103">
        <v>25.8023508331046</v>
      </c>
      <c r="BT71" s="104"/>
      <c r="BU71" s="103">
        <f t="shared" si="71"/>
        <v>319.021954153034</v>
      </c>
      <c r="BV71" s="104"/>
      <c r="BW71" s="162"/>
      <c r="BX71" s="167"/>
      <c r="BY71" s="167"/>
      <c r="BZ71" s="167"/>
      <c r="CA71" s="167"/>
      <c r="CB71" s="167"/>
      <c r="CC71" s="167"/>
      <c r="CD71" s="167"/>
      <c r="CE71" s="167"/>
      <c r="CF71" s="167"/>
      <c r="CG71" s="167"/>
      <c r="CH71" s="167"/>
      <c r="CI71" s="167"/>
      <c r="CJ71" s="146"/>
    </row>
    <row r="72" ht="28.8" customHeight="1" spans="1:88">
      <c r="A72" s="29"/>
      <c r="B72" s="141" t="s">
        <v>276</v>
      </c>
      <c r="C72" s="103">
        <v>105.686529806498</v>
      </c>
      <c r="D72" s="104">
        <f t="shared" si="48"/>
        <v>9.18358761869218</v>
      </c>
      <c r="E72" s="103">
        <v>107.174541127931</v>
      </c>
      <c r="F72" s="104">
        <f t="shared" si="49"/>
        <v>8.17071042419869</v>
      </c>
      <c r="G72" s="103">
        <v>100.441967972244</v>
      </c>
      <c r="H72" s="104">
        <f t="shared" si="50"/>
        <v>3.06141454896652</v>
      </c>
      <c r="I72" s="103">
        <v>102.1881142592</v>
      </c>
      <c r="J72" s="104">
        <f t="shared" si="51"/>
        <v>5.25679164864296</v>
      </c>
      <c r="K72" s="103">
        <v>112.16934864363</v>
      </c>
      <c r="L72" s="104">
        <f t="shared" si="52"/>
        <v>4.39797676087853</v>
      </c>
      <c r="M72" s="103">
        <v>107.735798382252</v>
      </c>
      <c r="N72" s="104">
        <f t="shared" si="53"/>
        <v>3.29721455273834</v>
      </c>
      <c r="O72" s="103">
        <v>115.184902028657</v>
      </c>
      <c r="P72" s="104">
        <f t="shared" si="54"/>
        <v>3.05408647213214</v>
      </c>
      <c r="Q72" s="127"/>
      <c r="R72" s="127"/>
      <c r="S72" s="103">
        <f t="shared" si="55"/>
        <v>750.581202220412</v>
      </c>
      <c r="T72" s="104">
        <f t="shared" si="56"/>
        <v>3.46696630723575</v>
      </c>
      <c r="U72" s="103"/>
      <c r="V72" s="103">
        <v>10.3781234829765</v>
      </c>
      <c r="W72" s="104">
        <f t="shared" si="57"/>
        <v>-0.777132851692049</v>
      </c>
      <c r="X72" s="103">
        <v>11.6866127236043</v>
      </c>
      <c r="Y72" s="104">
        <f t="shared" si="58"/>
        <v>-0.589360102204415</v>
      </c>
      <c r="Z72" s="103">
        <v>24.73078449916</v>
      </c>
      <c r="AA72" s="104">
        <f t="shared" si="59"/>
        <v>-0.308802188373071</v>
      </c>
      <c r="AB72" s="103">
        <v>16.3323505076861</v>
      </c>
      <c r="AC72" s="104">
        <f t="shared" si="60"/>
        <v>-0.568778873013854</v>
      </c>
      <c r="AD72" s="103">
        <v>20.7798872823184</v>
      </c>
      <c r="AE72" s="104">
        <f t="shared" si="61"/>
        <v>-0.470327269000653</v>
      </c>
      <c r="AF72" s="103">
        <v>25.071077336271</v>
      </c>
      <c r="AG72" s="104">
        <f t="shared" si="62"/>
        <v>-0.7874008865656</v>
      </c>
      <c r="AH72" s="103">
        <v>28.4120486379459</v>
      </c>
      <c r="AI72" s="104">
        <f t="shared" si="63"/>
        <v>-0.56505997186294</v>
      </c>
      <c r="AJ72" s="103">
        <v>30.6384111628688</v>
      </c>
      <c r="AK72" s="104">
        <f t="shared" si="64"/>
        <v>-0.787523025818023</v>
      </c>
      <c r="AL72" s="103">
        <v>26.1146019566612</v>
      </c>
      <c r="AM72" s="104">
        <f t="shared" si="65"/>
        <v>-0.534007418641188</v>
      </c>
      <c r="AN72" s="103">
        <v>42.9286582871932</v>
      </c>
      <c r="AO72" s="104">
        <f t="shared" si="66"/>
        <v>-0.267308173957739</v>
      </c>
      <c r="AP72" s="103">
        <v>61.2346888959971</v>
      </c>
      <c r="AQ72" s="104">
        <f t="shared" si="67"/>
        <v>0.0646477774205858</v>
      </c>
      <c r="AR72" s="103">
        <v>96.7267527048816</v>
      </c>
      <c r="AS72" s="104">
        <f t="shared" si="68"/>
        <v>0.406252012958022</v>
      </c>
      <c r="AT72" s="103">
        <f t="shared" si="69"/>
        <v>395.033997477564</v>
      </c>
      <c r="AU72" s="104">
        <f t="shared" si="70"/>
        <v>-0.477668361997254</v>
      </c>
      <c r="AV72" s="104"/>
      <c r="AW72" s="103">
        <v>46.5664121507776</v>
      </c>
      <c r="AX72" s="104"/>
      <c r="AY72" s="103">
        <v>28.4595159562938</v>
      </c>
      <c r="AZ72" s="104"/>
      <c r="BA72" s="103">
        <v>35.779604742887</v>
      </c>
      <c r="BB72" s="104"/>
      <c r="BC72" s="103">
        <v>37.8746528998585</v>
      </c>
      <c r="BD72" s="104"/>
      <c r="BE72" s="103">
        <v>39.2315595388731</v>
      </c>
      <c r="BF72" s="104"/>
      <c r="BG72" s="103">
        <v>117.926537562947</v>
      </c>
      <c r="BH72" s="104"/>
      <c r="BI72" s="103">
        <v>65.324060329974</v>
      </c>
      <c r="BJ72" s="104"/>
      <c r="BK72" s="103">
        <v>144.1963830708</v>
      </c>
      <c r="BL72" s="104"/>
      <c r="BM72" s="103">
        <v>56.0408105221595</v>
      </c>
      <c r="BN72" s="104"/>
      <c r="BO72" s="103">
        <v>58.5903332907076</v>
      </c>
      <c r="BP72" s="104"/>
      <c r="BQ72" s="103">
        <v>57.5163825959001</v>
      </c>
      <c r="BR72" s="104"/>
      <c r="BS72" s="103">
        <v>68.7833701310897</v>
      </c>
      <c r="BT72" s="104"/>
      <c r="BU72" s="103">
        <f t="shared" si="71"/>
        <v>756.289622792268</v>
      </c>
      <c r="BV72" s="104"/>
      <c r="BW72" s="162"/>
      <c r="BX72" s="167"/>
      <c r="BY72" s="167"/>
      <c r="BZ72" s="167"/>
      <c r="CA72" s="167"/>
      <c r="CB72" s="167"/>
      <c r="CC72" s="167"/>
      <c r="CD72" s="167"/>
      <c r="CE72" s="167"/>
      <c r="CF72" s="167"/>
      <c r="CG72" s="167"/>
      <c r="CH72" s="167"/>
      <c r="CI72" s="167"/>
      <c r="CJ72" s="146"/>
    </row>
    <row r="73" ht="28.8" customHeight="1" spans="1:88">
      <c r="A73" s="166" t="s">
        <v>112</v>
      </c>
      <c r="B73" s="141" t="s">
        <v>282</v>
      </c>
      <c r="C73" s="103">
        <v>0.32117221241354</v>
      </c>
      <c r="D73" s="104">
        <f t="shared" si="48"/>
        <v>0.941743473439057</v>
      </c>
      <c r="E73" s="103">
        <v>0.254361715934241</v>
      </c>
      <c r="F73" s="104">
        <f t="shared" si="49"/>
        <v>0.588881479617031</v>
      </c>
      <c r="G73" s="103">
        <v>0.350996398494412</v>
      </c>
      <c r="H73" s="104">
        <f t="shared" si="50"/>
        <v>0.271064665364467</v>
      </c>
      <c r="I73" s="103">
        <v>0.355186197827151</v>
      </c>
      <c r="J73" s="104">
        <f t="shared" si="51"/>
        <v>1.39720532295876</v>
      </c>
      <c r="K73" s="103">
        <v>0.433287900981098</v>
      </c>
      <c r="L73" s="104">
        <f t="shared" si="52"/>
        <v>1.86364897352251</v>
      </c>
      <c r="M73" s="103">
        <v>0.507673287117251</v>
      </c>
      <c r="N73" s="104">
        <f t="shared" si="53"/>
        <v>2.85577127170193</v>
      </c>
      <c r="O73" s="103">
        <v>0.576776722825841</v>
      </c>
      <c r="P73" s="104">
        <f t="shared" si="54"/>
        <v>1.15771921576426</v>
      </c>
      <c r="Q73" s="127"/>
      <c r="R73" s="127"/>
      <c r="S73" s="103">
        <f t="shared" si="55"/>
        <v>2.79945443559353</v>
      </c>
      <c r="T73" s="104">
        <f t="shared" si="56"/>
        <v>0.727971712886503</v>
      </c>
      <c r="U73" s="103"/>
      <c r="V73" s="103">
        <v>0.165404038590487</v>
      </c>
      <c r="W73" s="104">
        <f t="shared" si="57"/>
        <v>4.93903203592066</v>
      </c>
      <c r="X73" s="103">
        <v>0.160088539766698</v>
      </c>
      <c r="Y73" s="104">
        <f t="shared" si="58"/>
        <v>5.23501890817314</v>
      </c>
      <c r="Z73" s="103">
        <v>0.276143620430017</v>
      </c>
      <c r="AA73" s="104">
        <f t="shared" si="59"/>
        <v>12.2910174985397</v>
      </c>
      <c r="AB73" s="103">
        <v>0.148166781720959</v>
      </c>
      <c r="AC73" s="104">
        <f t="shared" si="60"/>
        <v>6.54738157766249</v>
      </c>
      <c r="AD73" s="103">
        <v>0.151306219787169</v>
      </c>
      <c r="AE73" s="104">
        <f t="shared" si="61"/>
        <v>6.3549537042232</v>
      </c>
      <c r="AF73" s="103">
        <v>0.131665820232424</v>
      </c>
      <c r="AG73" s="104">
        <f t="shared" si="62"/>
        <v>1.94738362509176</v>
      </c>
      <c r="AH73" s="103">
        <v>0.267308516609539</v>
      </c>
      <c r="AI73" s="104">
        <f t="shared" si="63"/>
        <v>4.36321185836253</v>
      </c>
      <c r="AJ73" s="103">
        <v>0.319997633588103</v>
      </c>
      <c r="AK73" s="104">
        <f t="shared" si="64"/>
        <v>0.745904983774626</v>
      </c>
      <c r="AL73" s="103">
        <v>0.225417040487795</v>
      </c>
      <c r="AM73" s="104">
        <f t="shared" si="65"/>
        <v>3.55670630653061</v>
      </c>
      <c r="AN73" s="103">
        <v>0.296071229393878</v>
      </c>
      <c r="AO73" s="104">
        <f t="shared" si="66"/>
        <v>3.05051054577777</v>
      </c>
      <c r="AP73" s="103">
        <v>0.257405168278595</v>
      </c>
      <c r="AQ73" s="104">
        <f t="shared" si="67"/>
        <v>2.51396180394928</v>
      </c>
      <c r="AR73" s="103">
        <v>0.295565331252298</v>
      </c>
      <c r="AS73" s="104">
        <f t="shared" si="68"/>
        <v>2.14363068478804</v>
      </c>
      <c r="AT73" s="103">
        <f t="shared" si="69"/>
        <v>2.69453994013796</v>
      </c>
      <c r="AU73" s="104">
        <f t="shared" si="70"/>
        <v>2.95012276241556</v>
      </c>
      <c r="AV73" s="104"/>
      <c r="AW73" s="103">
        <v>0.0278503361473864</v>
      </c>
      <c r="AX73" s="104"/>
      <c r="AY73" s="103">
        <v>0.0256757103906849</v>
      </c>
      <c r="AZ73" s="104"/>
      <c r="BA73" s="103">
        <v>0.0207767103203617</v>
      </c>
      <c r="BB73" s="104"/>
      <c r="BC73" s="103">
        <v>0.0196315477356384</v>
      </c>
      <c r="BD73" s="104"/>
      <c r="BE73" s="103">
        <v>0.0205720152528342</v>
      </c>
      <c r="BF73" s="104"/>
      <c r="BG73" s="103">
        <v>0.0446721014229442</v>
      </c>
      <c r="BH73" s="104"/>
      <c r="BI73" s="103">
        <v>0.0498411257412368</v>
      </c>
      <c r="BJ73" s="104"/>
      <c r="BK73" s="103">
        <v>0.18328467846874</v>
      </c>
      <c r="BL73" s="104"/>
      <c r="BM73" s="103">
        <v>0.0494692932403237</v>
      </c>
      <c r="BN73" s="104"/>
      <c r="BO73" s="103">
        <v>0.073094792878024</v>
      </c>
      <c r="BP73" s="104"/>
      <c r="BQ73" s="103">
        <v>0.0732521247070193</v>
      </c>
      <c r="BR73" s="104"/>
      <c r="BS73" s="103">
        <v>0.0940203735389568</v>
      </c>
      <c r="BT73" s="104"/>
      <c r="BU73" s="103">
        <f t="shared" si="71"/>
        <v>0.68214080984415</v>
      </c>
      <c r="BV73" s="104"/>
      <c r="BW73" s="162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146"/>
    </row>
    <row r="74" ht="28.8" customHeight="1" spans="1:88">
      <c r="A74" s="45"/>
      <c r="B74" s="141" t="s">
        <v>283</v>
      </c>
      <c r="C74" s="103">
        <v>1.44972431567133</v>
      </c>
      <c r="D74" s="104">
        <f t="shared" si="48"/>
        <v>1.43684000459927</v>
      </c>
      <c r="E74" s="103">
        <v>1.1752631463351</v>
      </c>
      <c r="F74" s="104">
        <f t="shared" si="49"/>
        <v>1.0609031579606</v>
      </c>
      <c r="G74" s="103">
        <v>1.60424934869415</v>
      </c>
      <c r="H74" s="104">
        <f t="shared" si="50"/>
        <v>0.624160401725474</v>
      </c>
      <c r="I74" s="103">
        <v>1.63737653769591</v>
      </c>
      <c r="J74" s="104">
        <f t="shared" si="51"/>
        <v>2.06568341100253</v>
      </c>
      <c r="K74" s="103">
        <v>2.00467269252914</v>
      </c>
      <c r="L74" s="104">
        <f t="shared" si="52"/>
        <v>2.68619922487089</v>
      </c>
      <c r="M74" s="103">
        <v>2.33229623800396</v>
      </c>
      <c r="N74" s="104">
        <f t="shared" si="53"/>
        <v>3.94287706907562</v>
      </c>
      <c r="O74" s="103">
        <v>2.64077070180646</v>
      </c>
      <c r="P74" s="104">
        <f t="shared" si="54"/>
        <v>1.74779021903744</v>
      </c>
      <c r="Q74" s="127"/>
      <c r="R74" s="127"/>
      <c r="S74" s="103">
        <f t="shared" si="55"/>
        <v>12.844352980736</v>
      </c>
      <c r="T74" s="104">
        <f t="shared" si="56"/>
        <v>1.20670356556638</v>
      </c>
      <c r="U74" s="103"/>
      <c r="V74" s="103">
        <v>0.594919778456991</v>
      </c>
      <c r="W74" s="104">
        <f t="shared" si="57"/>
        <v>5.09301003321345</v>
      </c>
      <c r="X74" s="103">
        <v>0.570266070870646</v>
      </c>
      <c r="Y74" s="104">
        <f t="shared" si="58"/>
        <v>5.23662948554551</v>
      </c>
      <c r="Z74" s="103">
        <v>0.987740710209305</v>
      </c>
      <c r="AA74" s="104">
        <f t="shared" si="59"/>
        <v>12.7075981034017</v>
      </c>
      <c r="AB74" s="103">
        <v>0.534098378136332</v>
      </c>
      <c r="AC74" s="104">
        <f t="shared" si="60"/>
        <v>6.72166528305794</v>
      </c>
      <c r="AD74" s="103">
        <v>0.543831890312265</v>
      </c>
      <c r="AE74" s="104">
        <f t="shared" si="61"/>
        <v>6.49195412899178</v>
      </c>
      <c r="AF74" s="103">
        <v>0.471849937882459</v>
      </c>
      <c r="AG74" s="104">
        <f t="shared" si="62"/>
        <v>1.91575299387345</v>
      </c>
      <c r="AH74" s="103">
        <v>0.96105251540328</v>
      </c>
      <c r="AI74" s="104">
        <f t="shared" si="63"/>
        <v>2.82902569879624</v>
      </c>
      <c r="AJ74" s="103">
        <v>1.15684715683876</v>
      </c>
      <c r="AK74" s="104">
        <f t="shared" si="64"/>
        <v>0.226764328250431</v>
      </c>
      <c r="AL74" s="103">
        <v>0.808313380398605</v>
      </c>
      <c r="AM74" s="104">
        <f t="shared" si="65"/>
        <v>3.44605820988104</v>
      </c>
      <c r="AN74" s="103">
        <v>1.08283707299043</v>
      </c>
      <c r="AO74" s="104">
        <f t="shared" si="66"/>
        <v>3.02401427273346</v>
      </c>
      <c r="AP74" s="103">
        <v>0.940329394232616</v>
      </c>
      <c r="AQ74" s="104">
        <f t="shared" si="67"/>
        <v>2.46162110929832</v>
      </c>
      <c r="AR74" s="103">
        <v>1.08713226539566</v>
      </c>
      <c r="AS74" s="104">
        <f t="shared" si="68"/>
        <v>2.0833551985345</v>
      </c>
      <c r="AT74" s="103">
        <f t="shared" si="69"/>
        <v>9.73921855112735</v>
      </c>
      <c r="AU74" s="104">
        <f t="shared" si="70"/>
        <v>2.43675320745956</v>
      </c>
      <c r="AV74" s="104"/>
      <c r="AW74" s="103">
        <v>0.0976397175146667</v>
      </c>
      <c r="AX74" s="104"/>
      <c r="AY74" s="103">
        <v>0.0914381834278176</v>
      </c>
      <c r="AZ74" s="104"/>
      <c r="BA74" s="103">
        <v>0.0720578983100028</v>
      </c>
      <c r="BB74" s="104"/>
      <c r="BC74" s="103">
        <v>0.0691688073177937</v>
      </c>
      <c r="BD74" s="104"/>
      <c r="BE74" s="103">
        <v>0.0725887907145329</v>
      </c>
      <c r="BF74" s="104"/>
      <c r="BG74" s="103">
        <v>0.16182781561878</v>
      </c>
      <c r="BH74" s="104"/>
      <c r="BI74" s="103">
        <v>0.250991398596623</v>
      </c>
      <c r="BJ74" s="104"/>
      <c r="BK74" s="103">
        <v>0.943006843448583</v>
      </c>
      <c r="BL74" s="104"/>
      <c r="BM74" s="103">
        <v>0.181804497881334</v>
      </c>
      <c r="BN74" s="104"/>
      <c r="BO74" s="103">
        <v>0.269093745598192</v>
      </c>
      <c r="BP74" s="104"/>
      <c r="BQ74" s="103">
        <v>0.271644228106531</v>
      </c>
      <c r="BR74" s="104"/>
      <c r="BS74" s="103">
        <v>0.352580937127311</v>
      </c>
      <c r="BT74" s="104"/>
      <c r="BU74" s="103">
        <f t="shared" si="71"/>
        <v>2.83384286366217</v>
      </c>
      <c r="BV74" s="104"/>
      <c r="BW74" s="162"/>
      <c r="BX74" s="165"/>
      <c r="BY74" s="165"/>
      <c r="BZ74" s="165"/>
      <c r="CA74" s="165"/>
      <c r="CB74" s="165"/>
      <c r="CC74" s="165"/>
      <c r="CD74" s="165"/>
      <c r="CE74" s="165"/>
      <c r="CF74" s="165"/>
      <c r="CG74" s="165"/>
      <c r="CH74" s="165"/>
      <c r="CI74" s="165"/>
      <c r="CJ74" s="146"/>
    </row>
    <row r="75" ht="28.8" customHeight="1" spans="1:88">
      <c r="A75" s="45"/>
      <c r="B75" s="141" t="s">
        <v>284</v>
      </c>
      <c r="C75" s="103">
        <v>0.260213322337742</v>
      </c>
      <c r="D75" s="104">
        <f t="shared" si="48"/>
        <v>0.904508625212382</v>
      </c>
      <c r="E75" s="103">
        <v>0.208545436016314</v>
      </c>
      <c r="F75" s="104">
        <f t="shared" si="49"/>
        <v>0.609527107904406</v>
      </c>
      <c r="G75" s="103">
        <v>0.286534013792872</v>
      </c>
      <c r="H75" s="104">
        <f t="shared" si="50"/>
        <v>0.29300012386225</v>
      </c>
      <c r="I75" s="103">
        <v>0.290859575220764</v>
      </c>
      <c r="J75" s="104">
        <f t="shared" si="51"/>
        <v>1.46189617658587</v>
      </c>
      <c r="K75" s="103">
        <v>0.355258205026768</v>
      </c>
      <c r="L75" s="104">
        <f t="shared" si="52"/>
        <v>1.91179268718763</v>
      </c>
      <c r="M75" s="103">
        <v>0.414036743058156</v>
      </c>
      <c r="N75" s="104">
        <f t="shared" si="53"/>
        <v>2.86319372328178</v>
      </c>
      <c r="O75" s="103">
        <v>0.468855392455781</v>
      </c>
      <c r="P75" s="104">
        <f t="shared" si="54"/>
        <v>1.21129530173007</v>
      </c>
      <c r="Q75" s="127"/>
      <c r="R75" s="127"/>
      <c r="S75" s="103">
        <f t="shared" si="55"/>
        <v>2.2843026879084</v>
      </c>
      <c r="T75" s="104">
        <f t="shared" si="56"/>
        <v>0.755527464431609</v>
      </c>
      <c r="U75" s="103"/>
      <c r="V75" s="103">
        <v>0.136630162180927</v>
      </c>
      <c r="W75" s="104">
        <f t="shared" si="57"/>
        <v>4.97064378813007</v>
      </c>
      <c r="X75" s="103">
        <v>0.129569384070728</v>
      </c>
      <c r="Y75" s="104">
        <f t="shared" si="58"/>
        <v>5.10248869294029</v>
      </c>
      <c r="Z75" s="103">
        <v>0.221604011093968</v>
      </c>
      <c r="AA75" s="104">
        <f t="shared" si="59"/>
        <v>12.1009993554733</v>
      </c>
      <c r="AB75" s="103">
        <v>0.118144533464496</v>
      </c>
      <c r="AC75" s="104">
        <f t="shared" si="60"/>
        <v>6.381924150433</v>
      </c>
      <c r="AD75" s="103">
        <v>0.122006695940258</v>
      </c>
      <c r="AE75" s="104">
        <f t="shared" si="61"/>
        <v>6.31490644154504</v>
      </c>
      <c r="AF75" s="103">
        <v>0.107174729696556</v>
      </c>
      <c r="AG75" s="104">
        <f t="shared" si="62"/>
        <v>1.87865349243506</v>
      </c>
      <c r="AH75" s="103">
        <v>0.212027489991481</v>
      </c>
      <c r="AI75" s="104">
        <f t="shared" si="63"/>
        <v>4.28740561930585</v>
      </c>
      <c r="AJ75" s="103">
        <v>0.254048889903396</v>
      </c>
      <c r="AK75" s="104">
        <f t="shared" si="64"/>
        <v>0.686211308323479</v>
      </c>
      <c r="AL75" s="103">
        <v>0.177791067768402</v>
      </c>
      <c r="AM75" s="104">
        <f t="shared" si="65"/>
        <v>3.33152319288395</v>
      </c>
      <c r="AN75" s="103">
        <v>0.240233095813341</v>
      </c>
      <c r="AO75" s="104">
        <f t="shared" si="66"/>
        <v>2.94799678816234</v>
      </c>
      <c r="AP75" s="103">
        <v>0.209755330811705</v>
      </c>
      <c r="AQ75" s="104">
        <f t="shared" si="67"/>
        <v>2.43276789159978</v>
      </c>
      <c r="AR75" s="103">
        <v>0.240641994522651</v>
      </c>
      <c r="AS75" s="104">
        <f t="shared" si="68"/>
        <v>2.0408706323434</v>
      </c>
      <c r="AT75" s="103">
        <f t="shared" si="69"/>
        <v>2.16962738525791</v>
      </c>
      <c r="AU75" s="104">
        <f t="shared" si="70"/>
        <v>2.84792469259845</v>
      </c>
      <c r="AV75" s="104"/>
      <c r="AW75" s="103">
        <v>0.0228836566087822</v>
      </c>
      <c r="AX75" s="104"/>
      <c r="AY75" s="103">
        <v>0.0212322202613208</v>
      </c>
      <c r="AZ75" s="104"/>
      <c r="BA75" s="103">
        <v>0.0169150463320485</v>
      </c>
      <c r="BB75" s="104"/>
      <c r="BC75" s="103">
        <v>0.016004571580103</v>
      </c>
      <c r="BD75" s="104"/>
      <c r="BE75" s="103">
        <v>0.0166791874804195</v>
      </c>
      <c r="BF75" s="104"/>
      <c r="BG75" s="103">
        <v>0.0372308546263748</v>
      </c>
      <c r="BH75" s="104"/>
      <c r="BI75" s="103">
        <v>0.040100477485084</v>
      </c>
      <c r="BJ75" s="104"/>
      <c r="BK75" s="103">
        <v>0.150662546650802</v>
      </c>
      <c r="BL75" s="104"/>
      <c r="BM75" s="103">
        <v>0.0410458538143086</v>
      </c>
      <c r="BN75" s="104"/>
      <c r="BO75" s="103">
        <v>0.0608493645520825</v>
      </c>
      <c r="BP75" s="104"/>
      <c r="BQ75" s="103">
        <v>0.0611038489741736</v>
      </c>
      <c r="BR75" s="104"/>
      <c r="BS75" s="103">
        <v>0.079135886927621</v>
      </c>
      <c r="BT75" s="104"/>
      <c r="BU75" s="103">
        <f t="shared" si="71"/>
        <v>0.56384351529312</v>
      </c>
      <c r="BV75" s="104"/>
      <c r="BW75" s="162"/>
      <c r="BX75" s="167"/>
      <c r="BY75" s="167"/>
      <c r="BZ75" s="167"/>
      <c r="CA75" s="167"/>
      <c r="CB75" s="167"/>
      <c r="CC75" s="167"/>
      <c r="CD75" s="167"/>
      <c r="CE75" s="167"/>
      <c r="CF75" s="167"/>
      <c r="CG75" s="167"/>
      <c r="CH75" s="167"/>
      <c r="CI75" s="167"/>
      <c r="CJ75" s="146"/>
    </row>
    <row r="76" ht="28.8" customHeight="1" spans="1:88">
      <c r="A76" s="29"/>
      <c r="B76" s="141" t="s">
        <v>276</v>
      </c>
      <c r="C76" s="103">
        <v>0.783418330872721</v>
      </c>
      <c r="D76" s="104">
        <f t="shared" si="48"/>
        <v>1.37187916604362</v>
      </c>
      <c r="E76" s="103">
        <v>0.68048978822063</v>
      </c>
      <c r="F76" s="104">
        <f t="shared" si="49"/>
        <v>1.2703697198673</v>
      </c>
      <c r="G76" s="103">
        <v>0.913233276636372</v>
      </c>
      <c r="H76" s="104">
        <f t="shared" si="50"/>
        <v>0.767504537027801</v>
      </c>
      <c r="I76" s="103">
        <v>0.947655221797605</v>
      </c>
      <c r="J76" s="104">
        <f t="shared" si="51"/>
        <v>2.33107611692416</v>
      </c>
      <c r="K76" s="103">
        <v>1.17103700478086</v>
      </c>
      <c r="L76" s="104">
        <f t="shared" si="52"/>
        <v>3.01948303233224</v>
      </c>
      <c r="M76" s="103">
        <v>1.33026535439928</v>
      </c>
      <c r="N76" s="104">
        <f t="shared" si="53"/>
        <v>4.07900764082808</v>
      </c>
      <c r="O76" s="103">
        <v>1.49622581087839</v>
      </c>
      <c r="P76" s="104">
        <f t="shared" si="54"/>
        <v>1.92028226551792</v>
      </c>
      <c r="Q76" s="127"/>
      <c r="R76" s="127"/>
      <c r="S76" s="103">
        <f t="shared" si="55"/>
        <v>7.32232478758586</v>
      </c>
      <c r="T76" s="104">
        <f t="shared" si="56"/>
        <v>1.33626053351723</v>
      </c>
      <c r="U76" s="103"/>
      <c r="V76" s="103">
        <v>0.330294368317038</v>
      </c>
      <c r="W76" s="104">
        <f t="shared" si="57"/>
        <v>5.4692573261617</v>
      </c>
      <c r="X76" s="103">
        <v>0.299726420003701</v>
      </c>
      <c r="Y76" s="104">
        <f t="shared" si="58"/>
        <v>4.59394152072535</v>
      </c>
      <c r="Z76" s="103">
        <v>0.516679452586892</v>
      </c>
      <c r="AA76" s="104">
        <f t="shared" si="59"/>
        <v>12.9429232167642</v>
      </c>
      <c r="AB76" s="103">
        <v>0.284489212654993</v>
      </c>
      <c r="AC76" s="104">
        <f t="shared" si="60"/>
        <v>7.08474301977825</v>
      </c>
      <c r="AD76" s="103">
        <v>0.291340203543883</v>
      </c>
      <c r="AE76" s="104">
        <f t="shared" si="61"/>
        <v>6.93245000265424</v>
      </c>
      <c r="AF76" s="103">
        <v>0.261914422751763</v>
      </c>
      <c r="AG76" s="104">
        <f t="shared" si="62"/>
        <v>1.71551272524434</v>
      </c>
      <c r="AH76" s="103">
        <v>0.51235657201549</v>
      </c>
      <c r="AI76" s="104">
        <f t="shared" si="63"/>
        <v>3.85569040183561</v>
      </c>
      <c r="AJ76" s="103">
        <v>0.63740663474342</v>
      </c>
      <c r="AK76" s="104">
        <f t="shared" si="64"/>
        <v>0.485162260035734</v>
      </c>
      <c r="AL76" s="103">
        <v>0.437206651250527</v>
      </c>
      <c r="AM76" s="104">
        <f t="shared" si="65"/>
        <v>2.95981423787415</v>
      </c>
      <c r="AN76" s="103">
        <v>0.6484118751989</v>
      </c>
      <c r="AO76" s="104">
        <f t="shared" si="66"/>
        <v>2.97544223302514</v>
      </c>
      <c r="AP76" s="103">
        <v>0.570551617908369</v>
      </c>
      <c r="AQ76" s="104">
        <f t="shared" si="67"/>
        <v>2.39386089537581</v>
      </c>
      <c r="AR76" s="103">
        <v>0.669015098377248</v>
      </c>
      <c r="AS76" s="104">
        <f t="shared" si="68"/>
        <v>1.89948057849301</v>
      </c>
      <c r="AT76" s="103">
        <f t="shared" si="69"/>
        <v>5.45939252935222</v>
      </c>
      <c r="AU76" s="104">
        <f t="shared" si="70"/>
        <v>2.59851274194974</v>
      </c>
      <c r="AV76" s="104"/>
      <c r="AW76" s="103">
        <v>0.0510559947864999</v>
      </c>
      <c r="AX76" s="104"/>
      <c r="AY76" s="103">
        <v>0.05358054225151</v>
      </c>
      <c r="AZ76" s="104"/>
      <c r="BA76" s="103">
        <v>0.0370567523434157</v>
      </c>
      <c r="BB76" s="104"/>
      <c r="BC76" s="103">
        <v>0.035188405118014</v>
      </c>
      <c r="BD76" s="104"/>
      <c r="BE76" s="103">
        <v>0.0367276444788683</v>
      </c>
      <c r="BF76" s="104"/>
      <c r="BG76" s="103">
        <v>0.0964511859277685</v>
      </c>
      <c r="BH76" s="104"/>
      <c r="BI76" s="103">
        <v>0.105516729777871</v>
      </c>
      <c r="BJ76" s="104"/>
      <c r="BK76" s="103">
        <v>0.429183161931467</v>
      </c>
      <c r="BL76" s="104"/>
      <c r="BM76" s="103">
        <v>0.110410899346946</v>
      </c>
      <c r="BN76" s="104"/>
      <c r="BO76" s="103">
        <v>0.163104338383377</v>
      </c>
      <c r="BP76" s="104"/>
      <c r="BQ76" s="103">
        <v>0.168112847136945</v>
      </c>
      <c r="BR76" s="104"/>
      <c r="BS76" s="103">
        <v>0.230736188867651</v>
      </c>
      <c r="BT76" s="104"/>
      <c r="BU76" s="103">
        <f t="shared" si="71"/>
        <v>1.51712469035033</v>
      </c>
      <c r="BV76" s="104"/>
      <c r="BW76" s="162"/>
      <c r="BX76" s="168"/>
      <c r="BY76" s="168"/>
      <c r="BZ76" s="168"/>
      <c r="CA76" s="168"/>
      <c r="CB76" s="168"/>
      <c r="CC76" s="168"/>
      <c r="CD76" s="168"/>
      <c r="CE76" s="168"/>
      <c r="CF76" s="168"/>
      <c r="CG76" s="168"/>
      <c r="CH76" s="168"/>
      <c r="CI76" s="168"/>
      <c r="CJ76" s="146"/>
    </row>
  </sheetData>
  <autoFilter xmlns:etc="http://www.wps.cn/officeDocument/2017/etCustomData" ref="A3:CH76" etc:filterBottomFollowUsedRange="0">
    <extLst/>
  </autoFilter>
  <mergeCells count="107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workbookViewId="0">
      <selection activeCell="S31" sqref="S31"/>
    </sheetView>
  </sheetViews>
  <sheetFormatPr defaultColWidth="8.88888888888889" defaultRowHeight="14.4"/>
  <cols>
    <col min="1" max="1" width="7.33333333333333" style="16" customWidth="1"/>
    <col min="2" max="2" width="17.6666666666667" style="16" customWidth="1"/>
    <col min="3" max="3" width="11" style="16" customWidth="1"/>
    <col min="4" max="4" width="9.66666666666667" style="16" customWidth="1"/>
    <col min="5" max="5" width="11" style="16" customWidth="1"/>
    <col min="6" max="6" width="9.66666666666667" style="16" customWidth="1"/>
    <col min="7" max="7" width="11" style="16" customWidth="1"/>
    <col min="8" max="8" width="9.66666666666667" style="16" customWidth="1"/>
    <col min="9" max="9" width="11.4444444444444" style="16" customWidth="1"/>
    <col min="10" max="10" width="9.66666666666667" style="16" customWidth="1"/>
    <col min="11" max="11" width="11.4444444444444" style="16" customWidth="1"/>
    <col min="12" max="12" width="9.66666666666667" style="16" customWidth="1"/>
    <col min="13" max="13" width="11.4444444444444" style="16" customWidth="1"/>
    <col min="14" max="14" width="9.66666666666667" style="16" customWidth="1"/>
    <col min="15" max="15" width="11.4444444444444" style="16" customWidth="1"/>
    <col min="16" max="16" width="9.66666666666667" style="16" customWidth="1"/>
    <col min="19" max="19" width="12" style="16" customWidth="1"/>
    <col min="20" max="20" width="9.66666666666667" style="16" customWidth="1"/>
    <col min="21" max="21" width="7.55555555555556" style="16" customWidth="1"/>
    <col min="22" max="22" width="11" style="16" customWidth="1"/>
    <col min="23" max="23" width="9.66666666666667" style="16" customWidth="1"/>
    <col min="24" max="24" width="11" style="16" customWidth="1"/>
    <col min="25" max="25" width="9.66666666666667" style="16" customWidth="1"/>
    <col min="26" max="26" width="11" style="16" customWidth="1"/>
    <col min="27" max="27" width="9.66666666666667" style="16" customWidth="1"/>
    <col min="28" max="28" width="11" style="16" customWidth="1"/>
    <col min="29" max="29" width="9.66666666666667" style="16" customWidth="1"/>
    <col min="30" max="30" width="11" style="16" customWidth="1"/>
    <col min="31" max="31" width="11.1111111111111" style="16" customWidth="1"/>
    <col min="32" max="32" width="11" style="16" customWidth="1"/>
    <col min="33" max="33" width="9.66666666666667" style="16" customWidth="1"/>
    <col min="34" max="34" width="11" style="16" customWidth="1"/>
    <col min="35" max="35" width="9.66666666666667" style="16" customWidth="1"/>
    <col min="36" max="36" width="11" style="16" customWidth="1"/>
    <col min="37" max="37" width="9.66666666666667" style="16" customWidth="1"/>
    <col min="38" max="38" width="11" style="16" customWidth="1"/>
    <col min="39" max="39" width="9.66666666666667" style="16" customWidth="1"/>
    <col min="40" max="40" width="11" style="16" customWidth="1"/>
    <col min="41" max="41" width="9.66666666666667" style="16" customWidth="1"/>
    <col min="42" max="42" width="11" style="16" customWidth="1"/>
    <col min="43" max="43" width="9.66666666666667" style="16" customWidth="1"/>
    <col min="44" max="44" width="11" style="16" customWidth="1"/>
    <col min="45" max="45" width="9.66666666666667" style="16" customWidth="1"/>
    <col min="46" max="46" width="13" style="16" customWidth="1"/>
    <col min="47" max="47" width="9.66666666666667" style="16" customWidth="1"/>
    <col min="48" max="48" width="8.8888888888888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.4444444444444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" style="16" customWidth="1"/>
    <col min="58" max="58" width="8.88888888888889" style="16" customWidth="1"/>
    <col min="59" max="59" width="11.5555555555556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3" style="16" customWidth="1"/>
    <col min="74" max="74" width="8.88888888888889" style="16" customWidth="1"/>
  </cols>
  <sheetData>
    <row r="1" ht="25.95" customHeight="1" spans="1:74">
      <c r="A1" s="137" t="s">
        <v>248</v>
      </c>
      <c r="B1" s="72"/>
      <c r="C1" s="72"/>
      <c r="D1" s="138"/>
      <c r="E1" s="72"/>
      <c r="F1" s="138"/>
      <c r="G1" s="72"/>
      <c r="H1" s="138"/>
      <c r="I1" s="72"/>
      <c r="J1" s="138"/>
      <c r="K1" s="72"/>
      <c r="L1" s="138"/>
      <c r="M1" s="72"/>
      <c r="N1" s="138"/>
      <c r="O1" s="72"/>
      <c r="P1" s="138"/>
      <c r="Q1" s="72"/>
      <c r="R1" s="72"/>
      <c r="S1" s="72"/>
      <c r="T1" s="138"/>
      <c r="U1" s="72"/>
      <c r="V1" s="72"/>
      <c r="W1" s="138"/>
      <c r="X1" s="72"/>
      <c r="Y1" s="138"/>
      <c r="Z1" s="72"/>
      <c r="AA1" s="138"/>
      <c r="AB1" s="72"/>
      <c r="AC1" s="138"/>
      <c r="AD1" s="72"/>
      <c r="AE1" s="138"/>
      <c r="AF1" s="72"/>
      <c r="AG1" s="138"/>
      <c r="AH1" s="72"/>
      <c r="AI1" s="138"/>
      <c r="AJ1" s="72"/>
      <c r="AK1" s="138"/>
      <c r="AL1" s="72"/>
      <c r="AM1" s="138"/>
      <c r="AN1" s="72"/>
      <c r="AO1" s="138"/>
      <c r="AP1" s="72"/>
      <c r="AQ1" s="138"/>
      <c r="AR1" s="72"/>
      <c r="AS1" s="138"/>
      <c r="AT1" s="72"/>
      <c r="AU1" s="139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</row>
    <row r="2" spans="1:74">
      <c r="A2" s="141" t="s">
        <v>1</v>
      </c>
      <c r="B2" s="142" t="s">
        <v>2</v>
      </c>
      <c r="C2" s="143" t="s">
        <v>151</v>
      </c>
      <c r="D2" s="144" t="s">
        <v>12</v>
      </c>
      <c r="E2" s="143" t="s">
        <v>197</v>
      </c>
      <c r="F2" s="144" t="s">
        <v>12</v>
      </c>
      <c r="G2" s="145">
        <v>46082</v>
      </c>
      <c r="H2" s="144" t="s">
        <v>12</v>
      </c>
      <c r="I2" s="143" t="s">
        <v>199</v>
      </c>
      <c r="J2" s="144" t="s">
        <v>12</v>
      </c>
      <c r="K2" s="143" t="s">
        <v>200</v>
      </c>
      <c r="L2" s="144" t="s">
        <v>12</v>
      </c>
      <c r="M2" s="143" t="s">
        <v>201</v>
      </c>
      <c r="N2" s="144" t="s">
        <v>12</v>
      </c>
      <c r="O2" s="143" t="s">
        <v>202</v>
      </c>
      <c r="P2" s="144" t="s">
        <v>12</v>
      </c>
      <c r="Q2" s="143" t="s">
        <v>203</v>
      </c>
      <c r="R2" s="144" t="s">
        <v>12</v>
      </c>
      <c r="S2" s="143" t="s">
        <v>204</v>
      </c>
      <c r="T2" s="144" t="s">
        <v>44</v>
      </c>
      <c r="U2" s="142"/>
      <c r="V2" s="143" t="s">
        <v>13</v>
      </c>
      <c r="W2" s="144" t="s">
        <v>3</v>
      </c>
      <c r="X2" s="143" t="s">
        <v>14</v>
      </c>
      <c r="Y2" s="144" t="s">
        <v>4</v>
      </c>
      <c r="Z2" s="143" t="s">
        <v>15</v>
      </c>
      <c r="AA2" s="144" t="s">
        <v>5</v>
      </c>
      <c r="AB2" s="143" t="s">
        <v>16</v>
      </c>
      <c r="AC2" s="144" t="s">
        <v>6</v>
      </c>
      <c r="AD2" s="143" t="s">
        <v>17</v>
      </c>
      <c r="AE2" s="144" t="s">
        <v>7</v>
      </c>
      <c r="AF2" s="143" t="s">
        <v>18</v>
      </c>
      <c r="AG2" s="144" t="s">
        <v>8</v>
      </c>
      <c r="AH2" s="143" t="s">
        <v>19</v>
      </c>
      <c r="AI2" s="144" t="s">
        <v>9</v>
      </c>
      <c r="AJ2" s="143" t="s">
        <v>20</v>
      </c>
      <c r="AK2" s="144" t="s">
        <v>10</v>
      </c>
      <c r="AL2" s="143" t="s">
        <v>21</v>
      </c>
      <c r="AM2" s="144" t="s">
        <v>22</v>
      </c>
      <c r="AN2" s="143" t="s">
        <v>23</v>
      </c>
      <c r="AO2" s="144" t="s">
        <v>24</v>
      </c>
      <c r="AP2" s="143" t="s">
        <v>25</v>
      </c>
      <c r="AQ2" s="144" t="s">
        <v>26</v>
      </c>
      <c r="AR2" s="143" t="s">
        <v>27</v>
      </c>
      <c r="AS2" s="144" t="s">
        <v>28</v>
      </c>
      <c r="AT2" s="144" t="s">
        <v>29</v>
      </c>
      <c r="AU2" s="144" t="s">
        <v>44</v>
      </c>
      <c r="AV2" s="144"/>
      <c r="AW2" s="143" t="s">
        <v>31</v>
      </c>
      <c r="AX2" s="144" t="s">
        <v>3</v>
      </c>
      <c r="AY2" s="143" t="s">
        <v>32</v>
      </c>
      <c r="AZ2" s="144" t="s">
        <v>4</v>
      </c>
      <c r="BA2" s="143" t="s">
        <v>33</v>
      </c>
      <c r="BB2" s="144" t="s">
        <v>5</v>
      </c>
      <c r="BC2" s="143" t="s">
        <v>34</v>
      </c>
      <c r="BD2" s="144" t="s">
        <v>6</v>
      </c>
      <c r="BE2" s="143" t="s">
        <v>35</v>
      </c>
      <c r="BF2" s="144" t="s">
        <v>7</v>
      </c>
      <c r="BG2" s="143" t="s">
        <v>36</v>
      </c>
      <c r="BH2" s="144" t="s">
        <v>8</v>
      </c>
      <c r="BI2" s="143" t="s">
        <v>37</v>
      </c>
      <c r="BJ2" s="144" t="s">
        <v>9</v>
      </c>
      <c r="BK2" s="143" t="s">
        <v>38</v>
      </c>
      <c r="BL2" s="144" t="s">
        <v>10</v>
      </c>
      <c r="BM2" s="143" t="s">
        <v>39</v>
      </c>
      <c r="BN2" s="144" t="s">
        <v>22</v>
      </c>
      <c r="BO2" s="143" t="s">
        <v>40</v>
      </c>
      <c r="BP2" s="144" t="s">
        <v>24</v>
      </c>
      <c r="BQ2" s="143" t="s">
        <v>41</v>
      </c>
      <c r="BR2" s="144" t="s">
        <v>26</v>
      </c>
      <c r="BS2" s="143" t="s">
        <v>42</v>
      </c>
      <c r="BT2" s="144" t="s">
        <v>28</v>
      </c>
      <c r="BU2" s="143" t="s">
        <v>285</v>
      </c>
      <c r="BV2" s="144" t="s">
        <v>286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142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ht="28.05" customHeight="1" spans="1:74">
      <c r="A4" s="141" t="s">
        <v>80</v>
      </c>
      <c r="B4" s="141" t="s">
        <v>287</v>
      </c>
      <c r="C4" s="103">
        <f>SUM(C6,C8)</f>
        <v>12119.51</v>
      </c>
      <c r="D4" s="104">
        <f t="shared" ref="D4:D9" si="0">C4/V4-1</f>
        <v>0.119223345800434</v>
      </c>
      <c r="E4" s="103">
        <f>SUM(E6,E8)</f>
        <v>9117.41</v>
      </c>
      <c r="F4" s="104">
        <f t="shared" ref="F4:F9" si="1">E4/X4-1</f>
        <v>-0.14886174596388</v>
      </c>
      <c r="G4" s="103">
        <v>13128.32</v>
      </c>
      <c r="H4" s="104">
        <f t="shared" ref="H4:H9" si="2">G4/Z4-1</f>
        <v>-0.0213336315181334</v>
      </c>
      <c r="I4" s="103">
        <f>SUM(I6,I8)</f>
        <v>13040.83</v>
      </c>
      <c r="J4" s="104">
        <f t="shared" ref="J4:J9" si="3">I4/AB4-1</f>
        <v>-0.00806278015308637</v>
      </c>
      <c r="K4" s="103">
        <f>SUM(K6,K8)</f>
        <v>12728.94</v>
      </c>
      <c r="L4" s="104">
        <f t="shared" ref="L4:L9" si="4">K4/AD4-1</f>
        <v>-0.00752642983064189</v>
      </c>
      <c r="M4" s="103">
        <f>SUM(M6,M8)</f>
        <v>11921.16</v>
      </c>
      <c r="N4" s="104">
        <f t="shared" ref="N4:N9" si="5">M4/AF4-1</f>
        <v>0.024446835351664</v>
      </c>
      <c r="O4" s="103">
        <f>SUM(O6,O8)</f>
        <v>11731.83</v>
      </c>
      <c r="P4" s="104">
        <f t="shared" ref="P4:P9" si="6">O4/AH4-1</f>
        <v>0.00633989596771989</v>
      </c>
      <c r="Q4" s="127"/>
      <c r="R4" s="127"/>
      <c r="S4" s="103">
        <f t="shared" ref="S4:S9" si="7">C4+E4+G4+I4+K4+M4+O4+Q4</f>
        <v>83788</v>
      </c>
      <c r="T4" s="132">
        <f t="shared" ref="T4:T9" si="8">S4/SUM(V4+X4+Z4+AB4+AD4+AF4+AH4+AJ4)-1</f>
        <v>-0.122029220285916</v>
      </c>
      <c r="U4" s="141"/>
      <c r="V4" s="103">
        <f>SUM(V6,V8)</f>
        <v>10828.5</v>
      </c>
      <c r="W4" s="104">
        <f t="shared" ref="W4:W9" si="9">V4/AW4-1</f>
        <v>-0.074854865374018</v>
      </c>
      <c r="X4" s="103">
        <f>SUM(X6,X8)</f>
        <v>10712.02</v>
      </c>
      <c r="Y4" s="104">
        <f t="shared" ref="Y4:Y9" si="10">X4/AY4-1</f>
        <v>0.0999119004248905</v>
      </c>
      <c r="Z4" s="103">
        <f>SUM(Z6,Z8)</f>
        <v>13414.5</v>
      </c>
      <c r="AA4" s="104">
        <f t="shared" ref="AA4:AA9" si="11">Z4/BA4-1</f>
        <v>-0.00509670538639873</v>
      </c>
      <c r="AB4" s="103">
        <f>SUM(AB6,AB8)</f>
        <v>13146.83</v>
      </c>
      <c r="AC4" s="104">
        <f t="shared" ref="AC4:AC9" si="12">AB4/BC4-1</f>
        <v>0.00590836298864317</v>
      </c>
      <c r="AD4" s="103">
        <f>SUM(AD6,AD8)</f>
        <v>12825.47</v>
      </c>
      <c r="AE4" s="104">
        <f t="shared" ref="AE4:AE9" si="13">AD4/BE4-1</f>
        <v>-0.0137402290807166</v>
      </c>
      <c r="AF4" s="103">
        <f>SUM(AF6,AF8)</f>
        <v>11636.68</v>
      </c>
      <c r="AG4" s="104">
        <f t="shared" ref="AG4:AG9" si="14">AF4/BG4-1</f>
        <v>-0.0313881487659579</v>
      </c>
      <c r="AH4" s="103">
        <f>SUM(AH6,AH8)</f>
        <v>11657.92</v>
      </c>
      <c r="AI4" s="104">
        <f t="shared" ref="AI4:AI9" si="15">AH4/BI4-1</f>
        <v>-0.0609326618528865</v>
      </c>
      <c r="AJ4" s="103">
        <f>SUM(AJ6,AJ8)</f>
        <v>11211.78</v>
      </c>
      <c r="AK4" s="104">
        <f t="shared" ref="AK4:AK9" si="16">AJ4/BK4-1</f>
        <v>-0.0377038332101686</v>
      </c>
      <c r="AL4" s="103">
        <f>SUM(AL6,AL8)</f>
        <v>11846.47</v>
      </c>
      <c r="AM4" s="104">
        <f t="shared" ref="AM4:AM9" si="17">AL4/BM4-1</f>
        <v>-0.0174432974641654</v>
      </c>
      <c r="AN4" s="103">
        <f>SUM(AN6,AN8)</f>
        <v>12567.23</v>
      </c>
      <c r="AO4" s="104">
        <f t="shared" ref="AO4:AO9" si="18">AN4/BO4-1</f>
        <v>-0.0336037071043092</v>
      </c>
      <c r="AP4" s="103">
        <f>SUM(AP6,AP8)</f>
        <v>12411.3</v>
      </c>
      <c r="AQ4" s="104">
        <f t="shared" ref="AQ4:AQ9" si="19">AP4/BQ4-1</f>
        <v>-0.00623341060040117</v>
      </c>
      <c r="AR4" s="103">
        <f>SUM(AR6,AR8)</f>
        <v>12566.09</v>
      </c>
      <c r="AS4" s="104">
        <f t="shared" ref="AS4:AS9" si="20">AR4/BS4-1</f>
        <v>-0.00534841051603407</v>
      </c>
      <c r="AT4" s="103">
        <f t="shared" ref="AT4:AT9" si="21">+AF4+V4+X4+Z4+AB4+AD4+AH4+AJ4+AL4+AN4+AP4+AR4</f>
        <v>144824.79</v>
      </c>
      <c r="AU4" s="104">
        <f t="shared" ref="AU4:AU9" si="22">AT4/SUM(AW4,AY4,BA4,BC4,BE4,BG4,BI4,BK4,BM4,BO4,BQ4,BS4)-1</f>
        <v>-0.016560980913005</v>
      </c>
      <c r="AV4" s="146"/>
      <c r="AW4" s="103">
        <f>SUM(AW6,AW8)</f>
        <v>11704.65</v>
      </c>
      <c r="AX4" s="104"/>
      <c r="AY4" s="103">
        <f>SUM(AY6,AY8)</f>
        <v>9738.98</v>
      </c>
      <c r="AZ4" s="104"/>
      <c r="BA4" s="103">
        <f>SUM(BA6,BA8)</f>
        <v>13483.22</v>
      </c>
      <c r="BB4" s="104"/>
      <c r="BC4" s="103">
        <f>SUM(BC6,BC8)</f>
        <v>13069.61</v>
      </c>
      <c r="BD4" s="104"/>
      <c r="BE4" s="103">
        <f>SUM(BE6,BE8)</f>
        <v>13004.15</v>
      </c>
      <c r="BF4" s="104"/>
      <c r="BG4" s="103">
        <f>SUM(BG6,BG8)</f>
        <v>12013.77</v>
      </c>
      <c r="BH4" s="104"/>
      <c r="BI4" s="103">
        <f>SUM(BI6,BI8)</f>
        <v>12414.36</v>
      </c>
      <c r="BJ4" s="104"/>
      <c r="BK4" s="103">
        <f>SUM(BK6,BK8)</f>
        <v>11651.07</v>
      </c>
      <c r="BL4" s="104"/>
      <c r="BM4" s="103">
        <f>BM6+BM8+BL17+BM21+BM25+BM29+BM33+BM37+BM41+BM45+BM49+BM53+BM57+BM61+BM65+BM69+BM73</f>
        <v>12056.78</v>
      </c>
      <c r="BN4" s="104"/>
      <c r="BO4" s="103">
        <f>BO6+BO8+BN17+BO21+BO25+BO29+BO33+BO37+BO41+BO45+BO49+BO53+BO57+BO61+BO65+BO69+BO73</f>
        <v>13004.22</v>
      </c>
      <c r="BP4" s="104"/>
      <c r="BQ4" s="103">
        <f>BQ6+BQ8+BP17+BQ21+BQ25+BQ29+BQ33+BQ37+BQ41+BQ45+BQ49+BQ53+BQ57+BQ61+BQ65+BQ69+BQ73</f>
        <v>12489.15</v>
      </c>
      <c r="BR4" s="104"/>
      <c r="BS4" s="103">
        <f>BS6+BS8+BR17+BS21+BS25+BS29+BS33+BS37+BS41+BS45+BS49+BS53+BS57+BS61+BS65+BS69+BS73</f>
        <v>12633.66</v>
      </c>
      <c r="BT4" s="104"/>
      <c r="BU4" s="103">
        <f t="shared" ref="BU4:BU9" si="23">AW4+AY4+BA4+BC4+BE4+BG4+BI4+BK4+BM4+BO4+BQ4+BS4</f>
        <v>147263.62</v>
      </c>
      <c r="BV4" s="104"/>
    </row>
    <row r="5" ht="33" customHeight="1" spans="1:74">
      <c r="A5" s="29"/>
      <c r="B5" s="141" t="s">
        <v>288</v>
      </c>
      <c r="C5" s="103">
        <f>C7+C9</f>
        <v>97587.87</v>
      </c>
      <c r="D5" s="104">
        <f t="shared" si="0"/>
        <v>0.107578412338686</v>
      </c>
      <c r="E5" s="103">
        <f>E7+E9</f>
        <v>74332.9</v>
      </c>
      <c r="F5" s="104">
        <f t="shared" si="1"/>
        <v>-0.149814889222331</v>
      </c>
      <c r="G5" s="103">
        <v>107483.37</v>
      </c>
      <c r="H5" s="104">
        <f t="shared" si="2"/>
        <v>-0.011576187678398</v>
      </c>
      <c r="I5" s="103">
        <f>I7+I9</f>
        <v>108804.51</v>
      </c>
      <c r="J5" s="104">
        <f t="shared" si="3"/>
        <v>0.00101854935608103</v>
      </c>
      <c r="K5" s="103">
        <f>K7+K9</f>
        <v>106743.05</v>
      </c>
      <c r="L5" s="104">
        <f t="shared" si="4"/>
        <v>0.000949909392897297</v>
      </c>
      <c r="M5" s="103">
        <f>M7+M9</f>
        <v>99694.16</v>
      </c>
      <c r="N5" s="104">
        <f t="shared" si="5"/>
        <v>0.0413691139612846</v>
      </c>
      <c r="O5" s="103">
        <f>O7+O9</f>
        <v>96645.23</v>
      </c>
      <c r="P5" s="104">
        <f t="shared" si="6"/>
        <v>0.0209110652256514</v>
      </c>
      <c r="Q5" s="127"/>
      <c r="R5" s="127"/>
      <c r="S5" s="103">
        <f t="shared" si="7"/>
        <v>691291.09</v>
      </c>
      <c r="T5" s="132">
        <f t="shared" si="8"/>
        <v>-0.116434927341653</v>
      </c>
      <c r="U5" s="141"/>
      <c r="V5" s="103">
        <f>V7+V9</f>
        <v>88109.22</v>
      </c>
      <c r="W5" s="104">
        <f t="shared" si="9"/>
        <v>-0.0658740113586741</v>
      </c>
      <c r="X5" s="103">
        <f>X7+X9</f>
        <v>87431.43</v>
      </c>
      <c r="Y5" s="104">
        <f t="shared" si="10"/>
        <v>0.79727914929219</v>
      </c>
      <c r="Z5" s="103">
        <f>Z7+Z9</f>
        <v>108742.19</v>
      </c>
      <c r="AA5" s="104">
        <f t="shared" si="11"/>
        <v>-0.00612644807494567</v>
      </c>
      <c r="AB5" s="103">
        <f>AB7+AB9+AB18+AB22+AB26+AB30+AB34+AB38+AB42+AB46+AB50+AB54+AB58+AB62+AB66+AB70+AB74</f>
        <v>108693.8</v>
      </c>
      <c r="AC5" s="104">
        <f t="shared" si="12"/>
        <v>-0.0133603350953767</v>
      </c>
      <c r="AD5" s="103">
        <f>AD7+AD9</f>
        <v>106641.75</v>
      </c>
      <c r="AE5" s="104">
        <f t="shared" si="13"/>
        <v>-0.000802230955377237</v>
      </c>
      <c r="AF5" s="103">
        <f>AF7+AF9</f>
        <v>95733.74</v>
      </c>
      <c r="AG5" s="104">
        <f t="shared" si="14"/>
        <v>-0.0680801546305446</v>
      </c>
      <c r="AH5" s="103">
        <f>AH7+AH9</f>
        <v>94665.67</v>
      </c>
      <c r="AI5" s="104">
        <f t="shared" si="15"/>
        <v>-0.0837469581853197</v>
      </c>
      <c r="AJ5" s="103">
        <f>AJ7+AJ9</f>
        <v>92370.63</v>
      </c>
      <c r="AK5" s="104">
        <f t="shared" si="16"/>
        <v>-0.0584019241619637</v>
      </c>
      <c r="AL5" s="103">
        <f>AL7+AL9</f>
        <v>98273.66</v>
      </c>
      <c r="AM5" s="104">
        <f t="shared" si="17"/>
        <v>-0.0438714070016906</v>
      </c>
      <c r="AN5" s="103">
        <f>AN7+AN9</f>
        <v>105059.47</v>
      </c>
      <c r="AO5" s="104">
        <f t="shared" si="18"/>
        <v>-0.123532048513488</v>
      </c>
      <c r="AP5" s="103">
        <f>AP7+AP9</f>
        <v>102357.18</v>
      </c>
      <c r="AQ5" s="104">
        <f t="shared" si="19"/>
        <v>-0.00640419069022846</v>
      </c>
      <c r="AR5" s="103">
        <f>AR7+AR9</f>
        <v>102493.79</v>
      </c>
      <c r="AS5" s="104">
        <f t="shared" si="20"/>
        <v>0.00219528288455706</v>
      </c>
      <c r="AT5" s="103">
        <f t="shared" si="21"/>
        <v>1190572.53</v>
      </c>
      <c r="AU5" s="104">
        <f t="shared" si="22"/>
        <v>-0.00897625526071066</v>
      </c>
      <c r="AV5" s="146"/>
      <c r="AW5" s="103">
        <f>AW7+AW9+AW18+AW22+AW26+AW30+AW34+AW38+AW42+AW46+AW50+AW54+AW58+AW62+AW66+AW70+AW74</f>
        <v>94322.63</v>
      </c>
      <c r="AX5" s="104"/>
      <c r="AY5" s="103">
        <f>AY7+AY9+AY18+AY22+AY26+AY30+AY34+AY38+AY42+AY46+AY50+AY54+AY58+AY62+AY66+AY70+AY74</f>
        <v>48646.55</v>
      </c>
      <c r="AZ5" s="104"/>
      <c r="BA5" s="103">
        <f>BA7+BA9+BA18+BA22+BA26+BA30+BA34+BA38+BA42+BA46+BA50+BA54+BA58+BA62+BA66+BA70+BA74</f>
        <v>109412.5</v>
      </c>
      <c r="BB5" s="104"/>
      <c r="BC5" s="103">
        <f>BC7+BC9+BC18+BC22+BC26+BC30+BC34+BC38+BC42+BC46+BC50+BC54+BC58+BC62+BC66+BC70+BC74</f>
        <v>110165.65</v>
      </c>
      <c r="BD5" s="104"/>
      <c r="BE5" s="103">
        <f>BE7+BE9+BE18+BE22+BE26+BE30+BE34+BE38+BE42+BE46+BE50+BE54+BE58+BE62+BE66+BE70+BE74</f>
        <v>106727.37</v>
      </c>
      <c r="BF5" s="104"/>
      <c r="BG5" s="103">
        <f>BG7+BG9+BG18+BG22+BG26+BG30+BG34+BG38+BG42+BG46+BG50+BG54+BG58+BG62+BG66+BG70+BG74</f>
        <v>102727.44</v>
      </c>
      <c r="BH5" s="104"/>
      <c r="BI5" s="103">
        <f>BI7+BI9+BI18+BI22+BI26+BI30+BI34+BI38+BI42+BI46+BI50+BI54+BI58+BI62+BI66+BI70+BI74</f>
        <v>103318.26</v>
      </c>
      <c r="BJ5" s="104"/>
      <c r="BK5" s="103">
        <f>BK7+BK9+BK18+BK22+BK26+BK30+BK34+BK38+BK42+BK46+BK50+BK54+BK58+BK62+BK66+BK70+BK74</f>
        <v>98099.85</v>
      </c>
      <c r="BL5" s="104"/>
      <c r="BM5" s="103">
        <f>BM7+BM9+BM18+BM22+BM26+BM30+BM34+BM38+BM42+BM46+BM50+BM54+BM58+BM62+BM66+BM70+BM74</f>
        <v>102782.89</v>
      </c>
      <c r="BN5" s="104"/>
      <c r="BO5" s="103">
        <f>BO7+BO9+BO18+BO22+BO26+BO30+BO34+BO38+BO42+BO46+BO50+BO54+BO58+BO62+BO66+BO70+BO74</f>
        <v>119866.87</v>
      </c>
      <c r="BP5" s="104"/>
      <c r="BQ5" s="103">
        <f>BQ7+BQ9+BQ18+BQ22+BQ26+BQ30+BQ34+BQ38+BQ42+BQ46+BQ50+BQ54+BQ58+BQ62+BQ66+BQ70+BQ74</f>
        <v>103016.92</v>
      </c>
      <c r="BR5" s="104"/>
      <c r="BS5" s="103">
        <f>BS7+BS9+BS18+BS22+BS26+BS30+BS34+BS38+BS42+BS46+BS50+BS54+BS58+BS62+BS66+BS70+BS74</f>
        <v>102269.28</v>
      </c>
      <c r="BT5" s="104"/>
      <c r="BU5" s="103">
        <f t="shared" si="23"/>
        <v>1201356.21</v>
      </c>
      <c r="BV5" s="104"/>
    </row>
    <row r="6" ht="28.8" customHeight="1" spans="1:74">
      <c r="A6" s="141" t="s">
        <v>127</v>
      </c>
      <c r="B6" s="141" t="s">
        <v>287</v>
      </c>
      <c r="C6" s="50">
        <v>12084.41</v>
      </c>
      <c r="D6" s="104">
        <f t="shared" si="0"/>
        <v>0.119695087092162</v>
      </c>
      <c r="E6" s="50">
        <v>9091.94</v>
      </c>
      <c r="F6" s="104">
        <f t="shared" si="1"/>
        <v>-0.148461141492938</v>
      </c>
      <c r="G6" s="103">
        <v>13088.58</v>
      </c>
      <c r="H6" s="104">
        <f t="shared" si="2"/>
        <v>-0.021014201695946</v>
      </c>
      <c r="I6" s="50">
        <v>13000.8</v>
      </c>
      <c r="J6" s="104">
        <f t="shared" si="3"/>
        <v>-0.00770583494125987</v>
      </c>
      <c r="K6" s="50">
        <v>12689.89</v>
      </c>
      <c r="L6" s="104">
        <f t="shared" si="4"/>
        <v>-0.00725438133966283</v>
      </c>
      <c r="M6" s="50">
        <v>11886.3</v>
      </c>
      <c r="N6" s="104">
        <f t="shared" si="5"/>
        <v>0.0248462467656425</v>
      </c>
      <c r="O6" s="50">
        <v>11701.74</v>
      </c>
      <c r="P6" s="104">
        <f t="shared" si="6"/>
        <v>0.00652163441688924</v>
      </c>
      <c r="Q6" s="127"/>
      <c r="R6" s="127"/>
      <c r="S6" s="103">
        <f t="shared" si="7"/>
        <v>83543.66</v>
      </c>
      <c r="T6" s="132">
        <f t="shared" si="8"/>
        <v>-0.121797391955537</v>
      </c>
      <c r="U6" s="141"/>
      <c r="V6" s="50">
        <v>10792.59</v>
      </c>
      <c r="W6" s="104">
        <f t="shared" si="9"/>
        <v>-0.0750281538770075</v>
      </c>
      <c r="X6" s="50">
        <v>10677.07</v>
      </c>
      <c r="Y6" s="104">
        <f t="shared" si="10"/>
        <v>0.0997538265043363</v>
      </c>
      <c r="Z6" s="50">
        <v>13369.53</v>
      </c>
      <c r="AA6" s="104">
        <f t="shared" si="11"/>
        <v>-0.00512042410000035</v>
      </c>
      <c r="AB6" s="50">
        <v>13101.76</v>
      </c>
      <c r="AC6" s="104">
        <f t="shared" si="12"/>
        <v>0.00591799568204365</v>
      </c>
      <c r="AD6" s="50">
        <v>12782.62</v>
      </c>
      <c r="AE6" s="104">
        <f t="shared" si="13"/>
        <v>-0.0137468472215042</v>
      </c>
      <c r="AF6" s="50">
        <v>11598.13</v>
      </c>
      <c r="AG6" s="104">
        <f t="shared" si="14"/>
        <v>-0.031390512777685</v>
      </c>
      <c r="AH6" s="50">
        <v>11625.92</v>
      </c>
      <c r="AI6" s="104">
        <f t="shared" si="15"/>
        <v>-0.0607283000971918</v>
      </c>
      <c r="AJ6" s="50">
        <v>11182.66</v>
      </c>
      <c r="AK6" s="104">
        <f t="shared" si="16"/>
        <v>-0.0375714011537789</v>
      </c>
      <c r="AL6" s="50">
        <v>11809.86</v>
      </c>
      <c r="AM6" s="104">
        <f t="shared" si="17"/>
        <v>-0.0173827959243783</v>
      </c>
      <c r="AN6" s="50">
        <v>12528.47</v>
      </c>
      <c r="AO6" s="104">
        <f t="shared" si="18"/>
        <v>-0.0334007386553449</v>
      </c>
      <c r="AP6" s="50">
        <v>12372.77</v>
      </c>
      <c r="AQ6" s="104">
        <f t="shared" si="19"/>
        <v>-0.00603954868070644</v>
      </c>
      <c r="AR6" s="50">
        <v>12527.66</v>
      </c>
      <c r="AS6" s="104">
        <f t="shared" si="20"/>
        <v>-0.00484009726267998</v>
      </c>
      <c r="AT6" s="103">
        <f t="shared" si="21"/>
        <v>144369.04</v>
      </c>
      <c r="AU6" s="104">
        <f t="shared" si="22"/>
        <v>-0.0164788742181408</v>
      </c>
      <c r="AV6" s="50"/>
      <c r="AW6" s="50">
        <v>11668.02</v>
      </c>
      <c r="AX6" s="50"/>
      <c r="AY6" s="50">
        <v>9708.6</v>
      </c>
      <c r="AZ6" s="50"/>
      <c r="BA6" s="50">
        <v>13438.34</v>
      </c>
      <c r="BB6" s="50"/>
      <c r="BC6" s="50">
        <v>13024.68</v>
      </c>
      <c r="BD6" s="50"/>
      <c r="BE6" s="50">
        <v>12960.79</v>
      </c>
      <c r="BF6" s="50"/>
      <c r="BG6" s="50">
        <v>11974</v>
      </c>
      <c r="BH6" s="50"/>
      <c r="BI6" s="50">
        <v>12377.59</v>
      </c>
      <c r="BJ6" s="50"/>
      <c r="BK6" s="50">
        <v>11619.21</v>
      </c>
      <c r="BL6" s="50"/>
      <c r="BM6" s="50">
        <v>12018.78</v>
      </c>
      <c r="BN6" s="50"/>
      <c r="BO6" s="50">
        <v>12961.39</v>
      </c>
      <c r="BP6" s="50"/>
      <c r="BQ6" s="50">
        <v>12447.95</v>
      </c>
      <c r="BR6" s="50"/>
      <c r="BS6" s="50">
        <v>12588.59</v>
      </c>
      <c r="BT6" s="50"/>
      <c r="BU6" s="103">
        <f t="shared" si="23"/>
        <v>146787.94</v>
      </c>
      <c r="BV6" s="50"/>
    </row>
    <row r="7" ht="43.2" customHeight="1" spans="1:74">
      <c r="A7" s="29"/>
      <c r="B7" s="141" t="s">
        <v>288</v>
      </c>
      <c r="C7" s="50">
        <v>97116.1</v>
      </c>
      <c r="D7" s="104">
        <f t="shared" si="0"/>
        <v>0.108295500427154</v>
      </c>
      <c r="E7" s="50">
        <v>73990.61</v>
      </c>
      <c r="F7" s="104">
        <f t="shared" si="1"/>
        <v>-0.149158652602237</v>
      </c>
      <c r="G7" s="103">
        <v>106949.3</v>
      </c>
      <c r="H7" s="104">
        <f t="shared" si="2"/>
        <v>-0.0109903320551182</v>
      </c>
      <c r="I7" s="50">
        <v>108266.5</v>
      </c>
      <c r="J7" s="104">
        <f t="shared" si="3"/>
        <v>0.00165096881662685</v>
      </c>
      <c r="K7" s="50">
        <v>106218.25</v>
      </c>
      <c r="L7" s="104">
        <f t="shared" si="4"/>
        <v>0.00143740974351858</v>
      </c>
      <c r="M7" s="147">
        <v>99225.68</v>
      </c>
      <c r="N7" s="104">
        <f t="shared" si="5"/>
        <v>0.0421151310614241</v>
      </c>
      <c r="O7" s="50">
        <v>96240.86</v>
      </c>
      <c r="P7" s="104">
        <f t="shared" si="6"/>
        <v>0.0212787858181893</v>
      </c>
      <c r="Q7" s="127"/>
      <c r="R7" s="127"/>
      <c r="S7" s="103">
        <f t="shared" si="7"/>
        <v>688007.3</v>
      </c>
      <c r="T7" s="132">
        <f t="shared" si="8"/>
        <v>-0.116024475326584</v>
      </c>
      <c r="U7" s="141"/>
      <c r="V7" s="50">
        <v>87626.54</v>
      </c>
      <c r="W7" s="104">
        <f t="shared" si="9"/>
        <v>-0.0611916576358731</v>
      </c>
      <c r="X7" s="50">
        <v>86961.7</v>
      </c>
      <c r="Y7" s="104">
        <f t="shared" si="10"/>
        <v>0.802754785986136</v>
      </c>
      <c r="Z7" s="50">
        <v>108137.77</v>
      </c>
      <c r="AA7" s="104">
        <f t="shared" si="11"/>
        <v>-0.00617171453435361</v>
      </c>
      <c r="AB7" s="50">
        <v>108088.05</v>
      </c>
      <c r="AC7" s="104">
        <f t="shared" si="12"/>
        <v>-0.0134512223650234</v>
      </c>
      <c r="AD7" s="50">
        <v>106065.79</v>
      </c>
      <c r="AE7" s="104">
        <f t="shared" si="13"/>
        <v>-0.0007425718555093</v>
      </c>
      <c r="AF7" s="50">
        <v>95215.66</v>
      </c>
      <c r="AG7" s="104">
        <f t="shared" si="14"/>
        <v>-0.0682758314979983</v>
      </c>
      <c r="AH7" s="50">
        <v>94235.64</v>
      </c>
      <c r="AI7" s="104">
        <f t="shared" si="15"/>
        <v>-0.0835256601833286</v>
      </c>
      <c r="AJ7" s="50">
        <v>91979.2</v>
      </c>
      <c r="AK7" s="104">
        <f t="shared" si="16"/>
        <v>-0.0582821721579184</v>
      </c>
      <c r="AL7" s="50">
        <v>97781.56</v>
      </c>
      <c r="AM7" s="104">
        <f t="shared" si="17"/>
        <v>-0.0439083324337728</v>
      </c>
      <c r="AN7" s="50">
        <v>104538.5</v>
      </c>
      <c r="AO7" s="104">
        <f t="shared" si="18"/>
        <v>-0.12366956855741</v>
      </c>
      <c r="AP7" s="50">
        <v>101839.4</v>
      </c>
      <c r="AQ7" s="104">
        <f t="shared" si="19"/>
        <v>-0.00608862142391331</v>
      </c>
      <c r="AR7" s="50">
        <v>101977.26</v>
      </c>
      <c r="AS7" s="104">
        <f t="shared" si="20"/>
        <v>0.00308556939324478</v>
      </c>
      <c r="AT7" s="103">
        <f t="shared" si="21"/>
        <v>1184447.07</v>
      </c>
      <c r="AU7" s="104">
        <f t="shared" si="22"/>
        <v>-0.00839189935929385</v>
      </c>
      <c r="AV7" s="50"/>
      <c r="AW7" s="50">
        <v>93338.05</v>
      </c>
      <c r="AX7" s="50"/>
      <c r="AY7" s="50">
        <v>48238.23</v>
      </c>
      <c r="AZ7" s="50"/>
      <c r="BA7" s="50">
        <v>108809.31</v>
      </c>
      <c r="BB7" s="50"/>
      <c r="BC7" s="50">
        <v>109561.79</v>
      </c>
      <c r="BD7" s="50"/>
      <c r="BE7" s="50">
        <v>106144.61</v>
      </c>
      <c r="BF7" s="50"/>
      <c r="BG7" s="50">
        <v>102192.97</v>
      </c>
      <c r="BH7" s="50"/>
      <c r="BI7" s="50">
        <v>102824.09</v>
      </c>
      <c r="BJ7" s="50"/>
      <c r="BK7" s="50">
        <v>97671.72</v>
      </c>
      <c r="BL7" s="50"/>
      <c r="BM7" s="50">
        <v>102272.16</v>
      </c>
      <c r="BN7" s="50"/>
      <c r="BO7" s="50">
        <v>119291.19</v>
      </c>
      <c r="BP7" s="50"/>
      <c r="BQ7" s="50">
        <v>102463.26</v>
      </c>
      <c r="BR7" s="50"/>
      <c r="BS7" s="50">
        <v>101663.57</v>
      </c>
      <c r="BT7" s="50"/>
      <c r="BU7" s="103">
        <f t="shared" si="23"/>
        <v>1194470.95</v>
      </c>
      <c r="BV7" s="50"/>
    </row>
    <row r="8" ht="28.8" customHeight="1" spans="1:74">
      <c r="A8" s="141" t="s">
        <v>128</v>
      </c>
      <c r="B8" s="141" t="s">
        <v>287</v>
      </c>
      <c r="C8" s="50">
        <v>35.1</v>
      </c>
      <c r="D8" s="104">
        <f t="shared" si="0"/>
        <v>-0.0225563909774434</v>
      </c>
      <c r="E8" s="50">
        <v>25.47</v>
      </c>
      <c r="F8" s="104">
        <f t="shared" si="1"/>
        <v>-0.271244635193133</v>
      </c>
      <c r="G8" s="103">
        <v>39.74</v>
      </c>
      <c r="H8" s="104">
        <f t="shared" si="2"/>
        <v>-0.116299755392484</v>
      </c>
      <c r="I8" s="50">
        <v>40.03</v>
      </c>
      <c r="J8" s="104">
        <f t="shared" si="3"/>
        <v>-0.111826048369203</v>
      </c>
      <c r="K8" s="50">
        <v>39.05</v>
      </c>
      <c r="L8" s="104">
        <f t="shared" si="4"/>
        <v>-0.0886814469078181</v>
      </c>
      <c r="M8" s="50">
        <v>34.86</v>
      </c>
      <c r="N8" s="104">
        <f t="shared" si="5"/>
        <v>-0.0957198443579766</v>
      </c>
      <c r="O8" s="50">
        <v>30.09</v>
      </c>
      <c r="P8" s="104">
        <f t="shared" si="6"/>
        <v>-0.0596875</v>
      </c>
      <c r="Q8" s="127"/>
      <c r="R8" s="127"/>
      <c r="S8" s="103">
        <f t="shared" si="7"/>
        <v>244.34</v>
      </c>
      <c r="T8" s="132">
        <f t="shared" si="8"/>
        <v>-0.19471359831257</v>
      </c>
      <c r="U8" s="141"/>
      <c r="V8" s="50">
        <v>35.91</v>
      </c>
      <c r="W8" s="104">
        <f t="shared" si="9"/>
        <v>-0.0196560196560198</v>
      </c>
      <c r="X8" s="50">
        <v>34.95</v>
      </c>
      <c r="Y8" s="104">
        <f t="shared" si="10"/>
        <v>0.150427913100724</v>
      </c>
      <c r="Z8" s="50">
        <v>44.97</v>
      </c>
      <c r="AA8" s="104">
        <f t="shared" si="11"/>
        <v>0.00200534759358284</v>
      </c>
      <c r="AB8" s="50">
        <v>45.07</v>
      </c>
      <c r="AC8" s="104">
        <f t="shared" si="12"/>
        <v>0.00311595815713339</v>
      </c>
      <c r="AD8" s="50">
        <v>42.85</v>
      </c>
      <c r="AE8" s="104">
        <f t="shared" si="13"/>
        <v>-0.0117619926199262</v>
      </c>
      <c r="AF8" s="50">
        <v>38.55</v>
      </c>
      <c r="AG8" s="104">
        <f t="shared" si="14"/>
        <v>-0.0306763892381193</v>
      </c>
      <c r="AH8" s="50">
        <v>32</v>
      </c>
      <c r="AI8" s="104">
        <f t="shared" si="15"/>
        <v>-0.129725319553984</v>
      </c>
      <c r="AJ8" s="50">
        <v>29.12</v>
      </c>
      <c r="AK8" s="104">
        <f t="shared" si="16"/>
        <v>-0.0860012554927808</v>
      </c>
      <c r="AL8" s="50">
        <v>36.61</v>
      </c>
      <c r="AM8" s="104">
        <f t="shared" si="17"/>
        <v>-0.036578947368421</v>
      </c>
      <c r="AN8" s="50">
        <v>38.76</v>
      </c>
      <c r="AO8" s="104">
        <f t="shared" si="18"/>
        <v>-0.0950268503385477</v>
      </c>
      <c r="AP8" s="50">
        <v>38.53</v>
      </c>
      <c r="AQ8" s="104">
        <f t="shared" si="19"/>
        <v>-0.0648058252427185</v>
      </c>
      <c r="AR8" s="50">
        <v>38.43</v>
      </c>
      <c r="AS8" s="104">
        <f t="shared" si="20"/>
        <v>-0.147326381184824</v>
      </c>
      <c r="AT8" s="103">
        <f t="shared" si="21"/>
        <v>455.75</v>
      </c>
      <c r="AU8" s="104">
        <f t="shared" si="22"/>
        <v>-0.0418979145644132</v>
      </c>
      <c r="AV8" s="50"/>
      <c r="AW8" s="50">
        <v>36.63</v>
      </c>
      <c r="AX8" s="50"/>
      <c r="AY8" s="50">
        <v>30.38</v>
      </c>
      <c r="AZ8" s="50"/>
      <c r="BA8" s="50">
        <v>44.88</v>
      </c>
      <c r="BB8" s="50"/>
      <c r="BC8" s="50">
        <v>44.93</v>
      </c>
      <c r="BD8" s="50"/>
      <c r="BE8" s="50">
        <v>43.36</v>
      </c>
      <c r="BF8" s="50"/>
      <c r="BG8" s="50">
        <v>39.77</v>
      </c>
      <c r="BH8" s="50"/>
      <c r="BI8" s="50">
        <v>36.77</v>
      </c>
      <c r="BJ8" s="50"/>
      <c r="BK8" s="50">
        <v>31.86</v>
      </c>
      <c r="BL8" s="50"/>
      <c r="BM8" s="50">
        <v>38</v>
      </c>
      <c r="BN8" s="50"/>
      <c r="BO8" s="50">
        <v>42.83</v>
      </c>
      <c r="BP8" s="50"/>
      <c r="BQ8" s="50">
        <v>41.2</v>
      </c>
      <c r="BR8" s="50"/>
      <c r="BS8" s="50">
        <v>45.07</v>
      </c>
      <c r="BT8" s="50"/>
      <c r="BU8" s="103">
        <f t="shared" si="23"/>
        <v>475.68</v>
      </c>
      <c r="BV8" s="50"/>
    </row>
    <row r="9" ht="43.2" customHeight="1" spans="1:74">
      <c r="A9" s="29"/>
      <c r="B9" s="141" t="s">
        <v>288</v>
      </c>
      <c r="C9" s="50">
        <v>471.77</v>
      </c>
      <c r="D9" s="104">
        <f t="shared" si="0"/>
        <v>-0.0226029667688739</v>
      </c>
      <c r="E9" s="50">
        <v>342.29</v>
      </c>
      <c r="F9" s="104">
        <f t="shared" si="1"/>
        <v>-0.271304792114619</v>
      </c>
      <c r="G9" s="103">
        <v>534.07</v>
      </c>
      <c r="H9" s="104">
        <f t="shared" si="2"/>
        <v>-0.116392574699712</v>
      </c>
      <c r="I9" s="50">
        <v>538.01</v>
      </c>
      <c r="J9" s="104">
        <f t="shared" si="3"/>
        <v>-0.111828312009905</v>
      </c>
      <c r="K9" s="50">
        <v>524.8</v>
      </c>
      <c r="L9" s="104">
        <f t="shared" si="4"/>
        <v>-0.0888256128897842</v>
      </c>
      <c r="M9" s="147">
        <v>468.48</v>
      </c>
      <c r="N9" s="104">
        <f t="shared" si="5"/>
        <v>-0.0957381099444101</v>
      </c>
      <c r="O9" s="50">
        <v>404.37</v>
      </c>
      <c r="P9" s="104">
        <f t="shared" si="6"/>
        <v>-0.0596702555635653</v>
      </c>
      <c r="Q9" s="127"/>
      <c r="R9" s="127"/>
      <c r="S9" s="103">
        <f t="shared" si="7"/>
        <v>3283.79</v>
      </c>
      <c r="T9" s="132">
        <f t="shared" si="8"/>
        <v>-0.194770578311362</v>
      </c>
      <c r="U9" s="141"/>
      <c r="V9" s="50">
        <v>482.68</v>
      </c>
      <c r="W9" s="104">
        <f t="shared" si="9"/>
        <v>-0.509760507018221</v>
      </c>
      <c r="X9" s="50">
        <v>469.73</v>
      </c>
      <c r="Y9" s="104">
        <f t="shared" si="10"/>
        <v>0.150396747648903</v>
      </c>
      <c r="Z9" s="50">
        <v>604.42</v>
      </c>
      <c r="AA9" s="104">
        <f t="shared" si="11"/>
        <v>0.0020391584741124</v>
      </c>
      <c r="AB9" s="50">
        <v>605.75</v>
      </c>
      <c r="AC9" s="104">
        <f t="shared" si="12"/>
        <v>0.00312986453813791</v>
      </c>
      <c r="AD9" s="50">
        <v>575.96</v>
      </c>
      <c r="AE9" s="104">
        <f t="shared" si="13"/>
        <v>-0.0116686114352391</v>
      </c>
      <c r="AF9" s="50">
        <v>518.08</v>
      </c>
      <c r="AG9" s="104">
        <f t="shared" si="14"/>
        <v>-0.0306658933148727</v>
      </c>
      <c r="AH9" s="50">
        <v>430.03</v>
      </c>
      <c r="AI9" s="104">
        <f t="shared" si="15"/>
        <v>-0.129793390938341</v>
      </c>
      <c r="AJ9" s="50">
        <v>391.43</v>
      </c>
      <c r="AK9" s="104">
        <f t="shared" si="16"/>
        <v>-0.0857216266087403</v>
      </c>
      <c r="AL9" s="50">
        <v>492.1</v>
      </c>
      <c r="AM9" s="104">
        <f t="shared" si="17"/>
        <v>-0.0364771993029585</v>
      </c>
      <c r="AN9" s="50">
        <v>520.97</v>
      </c>
      <c r="AO9" s="104">
        <f t="shared" si="18"/>
        <v>-0.0950354363535296</v>
      </c>
      <c r="AP9" s="50">
        <v>517.78</v>
      </c>
      <c r="AQ9" s="104">
        <f t="shared" si="19"/>
        <v>-0.0648051150525594</v>
      </c>
      <c r="AR9" s="50">
        <v>516.53</v>
      </c>
      <c r="AS9" s="104">
        <f t="shared" si="20"/>
        <v>-0.147232173812551</v>
      </c>
      <c r="AT9" s="103">
        <f t="shared" si="21"/>
        <v>6125.46</v>
      </c>
      <c r="AU9" s="104">
        <f t="shared" si="22"/>
        <v>-0.110351678803706</v>
      </c>
      <c r="AV9" s="50"/>
      <c r="AW9" s="50">
        <v>984.58</v>
      </c>
      <c r="AX9" s="50"/>
      <c r="AY9" s="50">
        <v>408.32</v>
      </c>
      <c r="AZ9" s="50"/>
      <c r="BA9" s="50">
        <v>603.19</v>
      </c>
      <c r="BB9" s="50"/>
      <c r="BC9" s="50">
        <v>603.86</v>
      </c>
      <c r="BD9" s="50"/>
      <c r="BE9" s="50">
        <v>582.76</v>
      </c>
      <c r="BF9" s="50"/>
      <c r="BG9" s="50">
        <v>534.47</v>
      </c>
      <c r="BH9" s="50"/>
      <c r="BI9" s="50">
        <v>494.17</v>
      </c>
      <c r="BJ9" s="50"/>
      <c r="BK9" s="50">
        <v>428.13</v>
      </c>
      <c r="BL9" s="50"/>
      <c r="BM9" s="50">
        <v>510.73</v>
      </c>
      <c r="BN9" s="50"/>
      <c r="BO9" s="50">
        <v>575.68</v>
      </c>
      <c r="BP9" s="50"/>
      <c r="BQ9" s="50">
        <v>553.66</v>
      </c>
      <c r="BR9" s="50"/>
      <c r="BS9" s="50">
        <v>605.71</v>
      </c>
      <c r="BT9" s="50"/>
      <c r="BU9" s="103">
        <f t="shared" si="23"/>
        <v>6885.26</v>
      </c>
      <c r="BV9" s="50"/>
    </row>
    <row r="10" ht="28.05" customHeight="1" spans="1:74">
      <c r="A10" s="137" t="s">
        <v>249</v>
      </c>
      <c r="B10" s="72"/>
      <c r="C10" s="72"/>
      <c r="D10" s="138"/>
      <c r="E10" s="72"/>
      <c r="F10" s="138"/>
      <c r="G10" s="72"/>
      <c r="H10" s="138"/>
      <c r="I10" s="72"/>
      <c r="J10" s="138"/>
      <c r="K10" s="72"/>
      <c r="L10" s="138"/>
      <c r="M10" s="72"/>
      <c r="N10" s="138"/>
      <c r="O10" s="72"/>
      <c r="P10" s="138"/>
      <c r="Q10" s="72"/>
      <c r="R10" s="72"/>
      <c r="S10" s="72"/>
      <c r="T10" s="138"/>
      <c r="U10" s="72"/>
      <c r="V10" s="72"/>
      <c r="W10" s="138"/>
      <c r="X10" s="72"/>
      <c r="Y10" s="138"/>
      <c r="Z10" s="72"/>
      <c r="AA10" s="138"/>
      <c r="AB10" s="72"/>
      <c r="AC10" s="138"/>
      <c r="AD10" s="72"/>
      <c r="AE10" s="138"/>
      <c r="AF10" s="72"/>
      <c r="AG10" s="138"/>
      <c r="AH10" s="72"/>
      <c r="AI10" s="138"/>
      <c r="AJ10" s="72"/>
      <c r="AK10" s="138"/>
      <c r="AL10" s="72"/>
      <c r="AM10" s="138"/>
      <c r="AN10" s="72"/>
      <c r="AO10" s="138"/>
      <c r="AP10" s="72"/>
      <c r="AQ10" s="138"/>
      <c r="AR10" s="72"/>
      <c r="AS10" s="138"/>
      <c r="AT10" s="72"/>
      <c r="AU10" s="139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</row>
    <row r="11" spans="1:74">
      <c r="A11" s="141" t="s">
        <v>1</v>
      </c>
      <c r="B11" s="142" t="s">
        <v>2</v>
      </c>
      <c r="C11" s="143" t="s">
        <v>13</v>
      </c>
      <c r="D11" s="144" t="s">
        <v>12</v>
      </c>
      <c r="E11" s="143" t="s">
        <v>14</v>
      </c>
      <c r="F11" s="144" t="s">
        <v>12</v>
      </c>
      <c r="G11" s="143" t="s">
        <v>15</v>
      </c>
      <c r="H11" s="144" t="s">
        <v>12</v>
      </c>
      <c r="I11" s="143" t="s">
        <v>199</v>
      </c>
      <c r="J11" s="144" t="s">
        <v>12</v>
      </c>
      <c r="K11" s="143" t="s">
        <v>200</v>
      </c>
      <c r="L11" s="144" t="s">
        <v>12</v>
      </c>
      <c r="M11" s="143" t="s">
        <v>201</v>
      </c>
      <c r="N11" s="144" t="s">
        <v>12</v>
      </c>
      <c r="O11" s="143" t="s">
        <v>202</v>
      </c>
      <c r="P11" s="144" t="s">
        <v>12</v>
      </c>
      <c r="Q11" s="143" t="s">
        <v>203</v>
      </c>
      <c r="R11" s="144" t="s">
        <v>12</v>
      </c>
      <c r="S11" s="143" t="s">
        <v>204</v>
      </c>
      <c r="T11" s="144" t="s">
        <v>44</v>
      </c>
      <c r="U11" s="142"/>
      <c r="V11" s="143" t="s">
        <v>13</v>
      </c>
      <c r="W11" s="144" t="s">
        <v>3</v>
      </c>
      <c r="X11" s="143" t="s">
        <v>14</v>
      </c>
      <c r="Y11" s="144" t="s">
        <v>4</v>
      </c>
      <c r="Z11" s="143" t="s">
        <v>15</v>
      </c>
      <c r="AA11" s="144" t="s">
        <v>5</v>
      </c>
      <c r="AB11" s="143" t="s">
        <v>16</v>
      </c>
      <c r="AC11" s="144" t="s">
        <v>6</v>
      </c>
      <c r="AD11" s="143" t="s">
        <v>17</v>
      </c>
      <c r="AE11" s="144" t="s">
        <v>7</v>
      </c>
      <c r="AF11" s="143" t="s">
        <v>18</v>
      </c>
      <c r="AG11" s="144" t="s">
        <v>8</v>
      </c>
      <c r="AH11" s="143" t="s">
        <v>19</v>
      </c>
      <c r="AI11" s="144" t="s">
        <v>9</v>
      </c>
      <c r="AJ11" s="143" t="s">
        <v>20</v>
      </c>
      <c r="AK11" s="144" t="s">
        <v>10</v>
      </c>
      <c r="AL11" s="143" t="s">
        <v>21</v>
      </c>
      <c r="AM11" s="144" t="s">
        <v>22</v>
      </c>
      <c r="AN11" s="143" t="s">
        <v>23</v>
      </c>
      <c r="AO11" s="144" t="s">
        <v>24</v>
      </c>
      <c r="AP11" s="143" t="s">
        <v>25</v>
      </c>
      <c r="AQ11" s="144" t="s">
        <v>26</v>
      </c>
      <c r="AR11" s="143" t="s">
        <v>27</v>
      </c>
      <c r="AS11" s="144" t="s">
        <v>28</v>
      </c>
      <c r="AT11" s="144" t="s">
        <v>29</v>
      </c>
      <c r="AU11" s="144" t="s">
        <v>44</v>
      </c>
      <c r="AV11" s="144"/>
      <c r="AW11" s="143" t="s">
        <v>31</v>
      </c>
      <c r="AX11" s="144" t="s">
        <v>3</v>
      </c>
      <c r="AY11" s="143" t="s">
        <v>32</v>
      </c>
      <c r="AZ11" s="144" t="s">
        <v>4</v>
      </c>
      <c r="BA11" s="143" t="s">
        <v>33</v>
      </c>
      <c r="BB11" s="144" t="s">
        <v>5</v>
      </c>
      <c r="BC11" s="143" t="s">
        <v>34</v>
      </c>
      <c r="BD11" s="144" t="s">
        <v>6</v>
      </c>
      <c r="BE11" s="143" t="s">
        <v>35</v>
      </c>
      <c r="BF11" s="144" t="s">
        <v>7</v>
      </c>
      <c r="BG11" s="143" t="s">
        <v>36</v>
      </c>
      <c r="BH11" s="144" t="s">
        <v>8</v>
      </c>
      <c r="BI11" s="143" t="s">
        <v>37</v>
      </c>
      <c r="BJ11" s="144" t="s">
        <v>9</v>
      </c>
      <c r="BK11" s="143" t="s">
        <v>38</v>
      </c>
      <c r="BL11" s="144" t="s">
        <v>10</v>
      </c>
      <c r="BM11" s="143" t="s">
        <v>39</v>
      </c>
      <c r="BN11" s="144" t="s">
        <v>22</v>
      </c>
      <c r="BO11" s="143" t="s">
        <v>40</v>
      </c>
      <c r="BP11" s="144" t="s">
        <v>24</v>
      </c>
      <c r="BQ11" s="143" t="s">
        <v>41</v>
      </c>
      <c r="BR11" s="144" t="s">
        <v>26</v>
      </c>
      <c r="BS11" s="143" t="s">
        <v>42</v>
      </c>
      <c r="BT11" s="144" t="s">
        <v>28</v>
      </c>
      <c r="BU11" s="143" t="s">
        <v>285</v>
      </c>
      <c r="BV11" s="144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55"/>
      <c r="U12" s="142"/>
      <c r="V12" s="29"/>
      <c r="W12" s="55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ht="28.8" customHeight="1" spans="1:74">
      <c r="A13" s="141" t="s">
        <v>80</v>
      </c>
      <c r="B13" s="141" t="s">
        <v>289</v>
      </c>
      <c r="C13" s="103">
        <f>C15</f>
        <v>30.46</v>
      </c>
      <c r="D13" s="104">
        <f>C13/V13-1</f>
        <v>-0.387122736418511</v>
      </c>
      <c r="E13" s="103">
        <v>67</v>
      </c>
      <c r="F13" s="104">
        <f>E13/X13-1</f>
        <v>0.29920496412643</v>
      </c>
      <c r="G13" s="103">
        <v>44.76</v>
      </c>
      <c r="H13" s="104">
        <f>G13/Z13-1</f>
        <v>-0.210721213189914</v>
      </c>
      <c r="I13" s="103">
        <f>I15</f>
        <v>54.87</v>
      </c>
      <c r="J13" s="104">
        <f>I13/AB13-1</f>
        <v>-0.0250533049040512</v>
      </c>
      <c r="K13" s="103">
        <f>K15</f>
        <v>52.36</v>
      </c>
      <c r="L13" s="104">
        <f>K13/AD13-1</f>
        <v>0.0061491160645657</v>
      </c>
      <c r="M13" s="103">
        <f>M15</f>
        <v>38.4</v>
      </c>
      <c r="N13" s="104">
        <f>M13/AF13-1</f>
        <v>0.0610665929814866</v>
      </c>
      <c r="O13" s="103">
        <v>46.05</v>
      </c>
      <c r="P13" s="104">
        <f>O13/AH13-1</f>
        <v>0.014540647719762</v>
      </c>
      <c r="Q13" s="127"/>
      <c r="R13" s="127"/>
      <c r="S13" s="103">
        <f>C13+E13+G13+I13+K13+M13+O13+Q13</f>
        <v>333.9</v>
      </c>
      <c r="T13" s="104">
        <f>S13/SUM(V13+X13+Z13+AB13+AD13+AF13+AH13+AJ13)-1</f>
        <v>-0.172347123416702</v>
      </c>
      <c r="U13" s="141"/>
      <c r="V13" s="103">
        <f>V15</f>
        <v>49.7</v>
      </c>
      <c r="W13" s="104">
        <f>V13/AW13-1</f>
        <v>0.0809047411918227</v>
      </c>
      <c r="X13" s="103">
        <f>X15</f>
        <v>51.57</v>
      </c>
      <c r="Y13" s="104">
        <f>X13/AY13-1</f>
        <v>-0.114981980435902</v>
      </c>
      <c r="Z13" s="103">
        <f>Z15</f>
        <v>56.71</v>
      </c>
      <c r="AA13" s="104">
        <f>Z13/BA13-1</f>
        <v>0.0256827636100561</v>
      </c>
      <c r="AB13" s="103">
        <f>AB15</f>
        <v>56.28</v>
      </c>
      <c r="AC13" s="104">
        <f>AB13/BC13-1</f>
        <v>-0.319550235763511</v>
      </c>
      <c r="AD13" s="103">
        <f>AD15</f>
        <v>52.04</v>
      </c>
      <c r="AE13" s="104">
        <f>AD13/BE13-1</f>
        <v>-0.141254125412541</v>
      </c>
      <c r="AF13" s="103">
        <f>AF15</f>
        <v>36.19</v>
      </c>
      <c r="AG13" s="104">
        <f>AF13/BG13-1</f>
        <v>-0.404769736842105</v>
      </c>
      <c r="AH13" s="103">
        <f>AH15</f>
        <v>45.39</v>
      </c>
      <c r="AI13" s="104">
        <f>AH13/BI13-1</f>
        <v>9.10913140311804</v>
      </c>
      <c r="AJ13" s="103">
        <f>AJ15</f>
        <v>55.55</v>
      </c>
      <c r="AK13" s="104">
        <f>AJ13/BK13-1</f>
        <v>-0.0380952380952382</v>
      </c>
      <c r="AL13" s="103">
        <f>AL15</f>
        <v>32</v>
      </c>
      <c r="AM13" s="104">
        <f>AL13/BM13-1</f>
        <v>-0.262162785335485</v>
      </c>
      <c r="AN13" s="103">
        <f>AN15</f>
        <v>57</v>
      </c>
      <c r="AO13" s="104">
        <f>AN13/BO13-1</f>
        <v>0.0144153764014949</v>
      </c>
      <c r="AP13" s="103">
        <f>AP15</f>
        <v>38.66</v>
      </c>
      <c r="AQ13" s="104">
        <f>AP13/BQ13-1</f>
        <v>-0.1437430786268</v>
      </c>
      <c r="AR13" s="103">
        <f>AR15</f>
        <v>26.5</v>
      </c>
      <c r="AS13" s="104">
        <f>AR13/BS13-1</f>
        <v>-0.222417840375587</v>
      </c>
      <c r="AT13" s="103">
        <f>+AF13+V13+X13+Z13+AB13+AD13+AH13+AJ13+AL13+AN13+AP13+AR13</f>
        <v>557.59</v>
      </c>
      <c r="AU13" s="104">
        <f>AT13/SUM(AW13,AY13,BA13,BC13,BE13,BG13,BI13,BK13,BM13,BO13,BQ13,BS13)-1</f>
        <v>-0.0778759013031687</v>
      </c>
      <c r="AV13" s="146"/>
      <c r="AW13" s="103">
        <f>AW15</f>
        <v>45.98</v>
      </c>
      <c r="AX13" s="104"/>
      <c r="AY13" s="103">
        <f>AY15</f>
        <v>58.27</v>
      </c>
      <c r="AZ13" s="104"/>
      <c r="BA13" s="103">
        <f>BA15</f>
        <v>55.29</v>
      </c>
      <c r="BB13" s="104"/>
      <c r="BC13" s="103">
        <f>BC15</f>
        <v>82.71</v>
      </c>
      <c r="BD13" s="104"/>
      <c r="BE13" s="103">
        <f>BE15</f>
        <v>60.6</v>
      </c>
      <c r="BF13" s="104"/>
      <c r="BG13" s="103">
        <f>BG15</f>
        <v>60.8</v>
      </c>
      <c r="BH13" s="104"/>
      <c r="BI13" s="103">
        <f>BI15</f>
        <v>4.49</v>
      </c>
      <c r="BJ13" s="104"/>
      <c r="BK13" s="103">
        <f>BK15</f>
        <v>57.75</v>
      </c>
      <c r="BL13" s="104"/>
      <c r="BM13" s="103">
        <f>BM15</f>
        <v>43.37</v>
      </c>
      <c r="BN13" s="104"/>
      <c r="BO13" s="103">
        <f>BO15</f>
        <v>56.19</v>
      </c>
      <c r="BP13" s="104"/>
      <c r="BQ13" s="103">
        <f>BQ15</f>
        <v>45.15</v>
      </c>
      <c r="BR13" s="104"/>
      <c r="BS13" s="103">
        <f>BS15</f>
        <v>34.08</v>
      </c>
      <c r="BT13" s="104"/>
      <c r="BU13" s="103">
        <f>AW13+AY13+BA13+BC13+BE13+BG13+BI13+BK13+BM13+BO13+BQ13+BS13</f>
        <v>604.68</v>
      </c>
      <c r="BV13" s="104"/>
    </row>
    <row r="14" ht="28.8" customHeight="1" spans="1:74">
      <c r="A14" s="29"/>
      <c r="B14" s="141" t="s">
        <v>290</v>
      </c>
      <c r="C14" s="103">
        <f>C16</f>
        <v>103.56</v>
      </c>
      <c r="D14" s="104">
        <f>C14/V14-1</f>
        <v>-0.387146407858918</v>
      </c>
      <c r="E14" s="103" t="str">
        <f>E16</f>
        <v>227.80</v>
      </c>
      <c r="F14" s="104">
        <f>E14/X14-1</f>
        <v>0.299190144861412</v>
      </c>
      <c r="G14" s="103">
        <v>152.18</v>
      </c>
      <c r="H14" s="104">
        <f>G14/Z14-1</f>
        <v>-0.210725584772574</v>
      </c>
      <c r="I14" s="103">
        <f>I16</f>
        <v>186.56</v>
      </c>
      <c r="J14" s="104">
        <f>I14/AB14-1</f>
        <v>-0.025032662660047</v>
      </c>
      <c r="K14" s="103">
        <f>K16</f>
        <v>178.02</v>
      </c>
      <c r="L14" s="104">
        <f>K14/AD14-1</f>
        <v>0.00610376398779255</v>
      </c>
      <c r="M14" s="103">
        <f>M16</f>
        <v>130.56</v>
      </c>
      <c r="N14" s="104">
        <f>M14/AF14-1</f>
        <v>0.061032100772044</v>
      </c>
      <c r="O14" s="103">
        <v>156.57</v>
      </c>
      <c r="P14" s="104">
        <f>O14/AH14-1</f>
        <v>0.0145143523618219</v>
      </c>
      <c r="Q14" s="127"/>
      <c r="R14" s="127"/>
      <c r="S14" s="103">
        <f>C14+E14+G14+I14+K14+M14+O14+Q14</f>
        <v>1135.25</v>
      </c>
      <c r="T14" s="104">
        <f>S14/SUM(V14+X14+Z14+AB14+AD14+AF14+AH14+AJ14)-1</f>
        <v>-0.172359240925296</v>
      </c>
      <c r="U14" s="141"/>
      <c r="V14" s="103">
        <f>V16</f>
        <v>168.98</v>
      </c>
      <c r="W14" s="104">
        <f>V14/AW14-1</f>
        <v>0.0809185696923174</v>
      </c>
      <c r="X14" s="103">
        <f>X16</f>
        <v>175.34</v>
      </c>
      <c r="Y14" s="104">
        <f>X14/AY14-1</f>
        <v>-0.114980819705229</v>
      </c>
      <c r="Z14" s="103">
        <f>Z16</f>
        <v>192.81</v>
      </c>
      <c r="AA14" s="104">
        <f>Z14/BA14-1</f>
        <v>0.0256396616841321</v>
      </c>
      <c r="AB14" s="103">
        <f>AB16</f>
        <v>191.35</v>
      </c>
      <c r="AC14" s="104">
        <f>AB14/BC14-1</f>
        <v>-0.319547669001814</v>
      </c>
      <c r="AD14" s="103">
        <f>AD16</f>
        <v>176.94</v>
      </c>
      <c r="AE14" s="104">
        <f>AD14/BE14-1</f>
        <v>-0.141234711706465</v>
      </c>
      <c r="AF14" s="103">
        <f>AF16</f>
        <v>123.05</v>
      </c>
      <c r="AG14" s="104">
        <f>AF14/BG14-1</f>
        <v>-0.404750386996904</v>
      </c>
      <c r="AH14" s="103">
        <f>AH16</f>
        <v>154.33</v>
      </c>
      <c r="AI14" s="104">
        <f>AH14/BI14-1</f>
        <v>9.10674525212836</v>
      </c>
      <c r="AJ14" s="103">
        <f>AJ16</f>
        <v>188.87</v>
      </c>
      <c r="AK14" s="104">
        <f>AJ14/BK14-1</f>
        <v>-0.0380952380952381</v>
      </c>
      <c r="AL14" s="103">
        <f>AL16</f>
        <v>108.8</v>
      </c>
      <c r="AM14" s="104">
        <f>AL14/BM14-1</f>
        <v>-0.262172792621728</v>
      </c>
      <c r="AN14" s="103">
        <f>AN16</f>
        <v>193.8</v>
      </c>
      <c r="AO14" s="104">
        <f>AN14/BO14-1</f>
        <v>0.0143941376602983</v>
      </c>
      <c r="AP14" s="103">
        <f>AP16</f>
        <v>131.44</v>
      </c>
      <c r="AQ14" s="104">
        <f>AP14/BQ14-1</f>
        <v>-0.143769135561201</v>
      </c>
      <c r="AR14" s="103">
        <f>AR16</f>
        <v>90.1</v>
      </c>
      <c r="AS14" s="104">
        <f>AR14/BS14-1</f>
        <v>-0.222404418745145</v>
      </c>
      <c r="AT14" s="103">
        <f>+AF14+V14+X14+Z14+AB14+AD14+AH14+AJ14+AL14+AN14+AP14+AR14</f>
        <v>1895.81</v>
      </c>
      <c r="AU14" s="104">
        <f>AT14/SUM(AW14,AY14,BA14,BC14,BE14,BG14,BI14,BK14,BM14,BO14,BQ14,BS14)-1</f>
        <v>-0.0778775438733025</v>
      </c>
      <c r="AV14" s="146"/>
      <c r="AW14" s="103">
        <f>AW16</f>
        <v>156.33</v>
      </c>
      <c r="AX14" s="104"/>
      <c r="AY14" s="103">
        <f>AY16</f>
        <v>198.12</v>
      </c>
      <c r="AZ14" s="104"/>
      <c r="BA14" s="103">
        <f>BA16</f>
        <v>187.99</v>
      </c>
      <c r="BB14" s="104"/>
      <c r="BC14" s="103">
        <f>BC16</f>
        <v>281.21</v>
      </c>
      <c r="BD14" s="104"/>
      <c r="BE14" s="103">
        <f>BE16</f>
        <v>206.04</v>
      </c>
      <c r="BF14" s="104"/>
      <c r="BG14" s="103">
        <f>BG16</f>
        <v>206.72</v>
      </c>
      <c r="BH14" s="104"/>
      <c r="BI14" s="103">
        <f>BI16</f>
        <v>15.27</v>
      </c>
      <c r="BJ14" s="104"/>
      <c r="BK14" s="103">
        <f>BK16</f>
        <v>196.35</v>
      </c>
      <c r="BL14" s="104"/>
      <c r="BM14" s="103">
        <f>BM16</f>
        <v>147.46</v>
      </c>
      <c r="BN14" s="104"/>
      <c r="BO14" s="103">
        <f>BO16</f>
        <v>191.05</v>
      </c>
      <c r="BP14" s="104"/>
      <c r="BQ14" s="103">
        <f>BQ16</f>
        <v>153.51</v>
      </c>
      <c r="BR14" s="104"/>
      <c r="BS14" s="103">
        <f>BS16</f>
        <v>115.87</v>
      </c>
      <c r="BT14" s="104"/>
      <c r="BU14" s="103">
        <f>AW14+AY14+BA14+BC14+BE14+BG14+BI14+BK14+BM14+BO14+BQ14+BS14</f>
        <v>2055.92</v>
      </c>
      <c r="BV14" s="104"/>
    </row>
    <row r="15" s="136" customFormat="1" ht="28.8" customHeight="1" spans="1:74">
      <c r="A15" s="141" t="s">
        <v>127</v>
      </c>
      <c r="B15" s="141" t="s">
        <v>289</v>
      </c>
      <c r="C15" s="148">
        <v>30.46</v>
      </c>
      <c r="D15" s="104">
        <f>C15/V15-1</f>
        <v>-0.387122736418511</v>
      </c>
      <c r="E15" s="149">
        <v>67</v>
      </c>
      <c r="F15" s="104">
        <f>E15/X15-1</f>
        <v>0.29920496412643</v>
      </c>
      <c r="G15" s="103">
        <v>44.76</v>
      </c>
      <c r="H15" s="104">
        <f>G15/Z15-1</f>
        <v>-0.210721213189914</v>
      </c>
      <c r="I15" s="148">
        <v>54.87</v>
      </c>
      <c r="J15" s="104">
        <f>I15/AB15-1</f>
        <v>-0.0250533049040512</v>
      </c>
      <c r="K15" s="148">
        <v>52.36</v>
      </c>
      <c r="L15" s="104">
        <f>K15/AD15-1</f>
        <v>0.0061491160645657</v>
      </c>
      <c r="M15" s="148">
        <v>38.4</v>
      </c>
      <c r="N15" s="104">
        <f>M15/AF15-1</f>
        <v>0.0610665929814866</v>
      </c>
      <c r="O15" s="148">
        <v>46.05</v>
      </c>
      <c r="P15" s="104">
        <f>O15/AH15-1</f>
        <v>0.014540647719762</v>
      </c>
      <c r="Q15" s="127"/>
      <c r="R15" s="127"/>
      <c r="S15" s="103">
        <f>C15+E15+G15+I15+K15+M15+O15+Q15</f>
        <v>333.9</v>
      </c>
      <c r="T15" s="104">
        <f>S15/SUM(V15+X15+Z15+AB15+AD15+AF15+AH15+AJ15)-1</f>
        <v>-0.172347123416702</v>
      </c>
      <c r="U15" s="141"/>
      <c r="V15" s="148">
        <v>49.7</v>
      </c>
      <c r="W15" s="104">
        <f>V15/AW15-1</f>
        <v>0.0809047411918227</v>
      </c>
      <c r="X15" s="148">
        <v>51.57</v>
      </c>
      <c r="Y15" s="104">
        <f>X15/AY15-1</f>
        <v>-0.114981980435902</v>
      </c>
      <c r="Z15" s="148">
        <v>56.71</v>
      </c>
      <c r="AA15" s="104">
        <f>Z15/BA15-1</f>
        <v>0.0256827636100561</v>
      </c>
      <c r="AB15" s="148">
        <v>56.28</v>
      </c>
      <c r="AC15" s="104">
        <f>AB15/BC15-1</f>
        <v>-0.319550235763511</v>
      </c>
      <c r="AD15" s="148">
        <v>52.04</v>
      </c>
      <c r="AE15" s="104">
        <f>AD15/BE15-1</f>
        <v>-0.141254125412541</v>
      </c>
      <c r="AF15" s="148">
        <v>36.19</v>
      </c>
      <c r="AG15" s="104">
        <f>AF15/BG15-1</f>
        <v>-0.404769736842105</v>
      </c>
      <c r="AH15" s="148">
        <v>45.39</v>
      </c>
      <c r="AI15" s="104">
        <f>AH15/BI15-1</f>
        <v>9.10913140311804</v>
      </c>
      <c r="AJ15" s="148">
        <v>55.55</v>
      </c>
      <c r="AK15" s="104">
        <f>AJ15/BK15-1</f>
        <v>-0.0380952380952382</v>
      </c>
      <c r="AL15" s="148">
        <v>32</v>
      </c>
      <c r="AM15" s="104">
        <f>AL15/BM15-1</f>
        <v>-0.262162785335485</v>
      </c>
      <c r="AN15" s="148">
        <v>57</v>
      </c>
      <c r="AO15" s="104">
        <f>AN15/BO15-1</f>
        <v>0.0144153764014949</v>
      </c>
      <c r="AP15" s="148">
        <v>38.66</v>
      </c>
      <c r="AQ15" s="104">
        <f>AP15/BQ15-1</f>
        <v>-0.1437430786268</v>
      </c>
      <c r="AR15" s="148">
        <v>26.5</v>
      </c>
      <c r="AS15" s="104">
        <f>AR15/BS15-1</f>
        <v>-0.222417840375587</v>
      </c>
      <c r="AT15" s="103">
        <f>+AF15+V15+X15+Z15+AB15+AD15+AH15+AJ15+AL15+AN15+AP15+AR15</f>
        <v>557.59</v>
      </c>
      <c r="AU15" s="104">
        <f>AT15/SUM(AW15,AY15,BA15,BC15,BE15,BG15,BI15,BK15,BM15,BO15,BQ15,BS15)-1</f>
        <v>-0.0778759013031687</v>
      </c>
      <c r="AV15" s="93"/>
      <c r="AW15" s="148">
        <v>45.98</v>
      </c>
      <c r="AX15" s="93"/>
      <c r="AY15" s="148">
        <v>58.27</v>
      </c>
      <c r="AZ15" s="93"/>
      <c r="BA15" s="148">
        <v>55.29</v>
      </c>
      <c r="BB15" s="93"/>
      <c r="BC15" s="148">
        <v>82.71</v>
      </c>
      <c r="BD15" s="93"/>
      <c r="BE15" s="148">
        <v>60.6</v>
      </c>
      <c r="BF15" s="93"/>
      <c r="BG15" s="93">
        <v>60.8</v>
      </c>
      <c r="BH15" s="93"/>
      <c r="BI15" s="93">
        <v>4.49</v>
      </c>
      <c r="BJ15" s="93"/>
      <c r="BK15" s="93">
        <v>57.75</v>
      </c>
      <c r="BL15" s="93"/>
      <c r="BM15" s="93">
        <v>43.37</v>
      </c>
      <c r="BN15" s="93"/>
      <c r="BO15" s="148">
        <v>56.19</v>
      </c>
      <c r="BP15" s="93"/>
      <c r="BQ15" s="148">
        <v>45.15</v>
      </c>
      <c r="BR15" s="93"/>
      <c r="BS15" s="148">
        <v>34.08</v>
      </c>
      <c r="BT15" s="93"/>
      <c r="BU15" s="103">
        <f>AW15+AY15+BA15+BC15+BE15+BG15+BI15+BK15+BM15+BO15+BQ15+BS15</f>
        <v>604.68</v>
      </c>
      <c r="BV15" s="93"/>
    </row>
    <row r="16" s="136" customFormat="1" ht="28.8" customHeight="1" spans="1:74">
      <c r="A16" s="29"/>
      <c r="B16" s="141" t="s">
        <v>290</v>
      </c>
      <c r="C16" s="148">
        <v>103.56</v>
      </c>
      <c r="D16" s="104">
        <f>C16/V16-1</f>
        <v>-0.387146407858918</v>
      </c>
      <c r="E16" s="150">
        <v>227.8</v>
      </c>
      <c r="F16" s="104">
        <f>E16/X16-1</f>
        <v>0.299190144861412</v>
      </c>
      <c r="G16" s="103">
        <v>152.18</v>
      </c>
      <c r="H16" s="104">
        <f>G16/Z16-1</f>
        <v>-0.210725584772574</v>
      </c>
      <c r="I16" s="148">
        <v>186.56</v>
      </c>
      <c r="J16" s="104">
        <f>I16/AB16-1</f>
        <v>-0.025032662660047</v>
      </c>
      <c r="K16" s="148">
        <v>178.02</v>
      </c>
      <c r="L16" s="104">
        <f>K16/AD16-1</f>
        <v>0.00610376398779255</v>
      </c>
      <c r="M16" s="148">
        <v>130.56</v>
      </c>
      <c r="N16" s="104">
        <f>M16/AF16-1</f>
        <v>0.061032100772044</v>
      </c>
      <c r="O16" s="148">
        <v>156.57</v>
      </c>
      <c r="P16" s="104">
        <f>O16/AH16-1</f>
        <v>0.0145143523618219</v>
      </c>
      <c r="Q16" s="127"/>
      <c r="R16" s="127"/>
      <c r="S16" s="103">
        <f>C16+E16+G16+I16+K16+M16+O16+Q16</f>
        <v>1135.25</v>
      </c>
      <c r="T16" s="104">
        <f>S16/SUM(V16+X16+Z16+AB16+AD16+AF16+AH16+AJ16)-1</f>
        <v>-0.172359240925296</v>
      </c>
      <c r="U16" s="141"/>
      <c r="V16" s="148">
        <v>168.98</v>
      </c>
      <c r="W16" s="104">
        <f>V16/AW16-1</f>
        <v>0.0809185696923174</v>
      </c>
      <c r="X16" s="148">
        <v>175.34</v>
      </c>
      <c r="Y16" s="104">
        <f>X16/AY16-1</f>
        <v>-0.114980819705229</v>
      </c>
      <c r="Z16" s="148">
        <v>192.81</v>
      </c>
      <c r="AA16" s="104">
        <f>Z16/BA16-1</f>
        <v>0.0256396616841321</v>
      </c>
      <c r="AB16" s="148">
        <v>191.35</v>
      </c>
      <c r="AC16" s="104">
        <f>AB16/BC16-1</f>
        <v>-0.319547669001814</v>
      </c>
      <c r="AD16" s="148">
        <v>176.94</v>
      </c>
      <c r="AE16" s="104">
        <f>AD16/BE16-1</f>
        <v>-0.141234711706465</v>
      </c>
      <c r="AF16" s="148">
        <v>123.05</v>
      </c>
      <c r="AG16" s="104">
        <f>AF16/BG16-1</f>
        <v>-0.404750386996904</v>
      </c>
      <c r="AH16" s="148">
        <v>154.33</v>
      </c>
      <c r="AI16" s="104">
        <f>AH16/BI16-1</f>
        <v>9.10674525212836</v>
      </c>
      <c r="AJ16" s="148">
        <v>188.87</v>
      </c>
      <c r="AK16" s="104">
        <f>AJ16/BK16-1</f>
        <v>-0.0380952380952381</v>
      </c>
      <c r="AL16" s="148">
        <v>108.8</v>
      </c>
      <c r="AM16" s="104">
        <f>AL16/BM16-1</f>
        <v>-0.262172792621728</v>
      </c>
      <c r="AN16" s="148">
        <v>193.8</v>
      </c>
      <c r="AO16" s="104">
        <f>AN16/BO16-1</f>
        <v>0.0143941376602983</v>
      </c>
      <c r="AP16" s="148">
        <v>131.44</v>
      </c>
      <c r="AQ16" s="104">
        <f>AP16/BQ16-1</f>
        <v>-0.143769135561201</v>
      </c>
      <c r="AR16" s="148">
        <v>90.1</v>
      </c>
      <c r="AS16" s="104">
        <f>AR16/BS16-1</f>
        <v>-0.222404418745145</v>
      </c>
      <c r="AT16" s="103">
        <f>+AF16+V16+X16+Z16+AB16+AD16+AH16+AJ16+AL16+AN16+AP16+AR16</f>
        <v>1895.81</v>
      </c>
      <c r="AU16" s="104">
        <f>AT16/SUM(AW16,AY16,BA16,BC16,BE16,BG16,BI16,BK16,BM16,BO16,BQ16,BS16)-1</f>
        <v>-0.0778775438733025</v>
      </c>
      <c r="AV16" s="93"/>
      <c r="AW16" s="148">
        <v>156.33</v>
      </c>
      <c r="AX16" s="93"/>
      <c r="AY16" s="148">
        <v>198.12</v>
      </c>
      <c r="AZ16" s="93"/>
      <c r="BA16" s="148">
        <v>187.99</v>
      </c>
      <c r="BB16" s="93"/>
      <c r="BC16" s="148">
        <v>281.21</v>
      </c>
      <c r="BD16" s="93"/>
      <c r="BE16" s="148">
        <v>206.04</v>
      </c>
      <c r="BF16" s="93"/>
      <c r="BG16" s="148">
        <v>206.72</v>
      </c>
      <c r="BH16" s="93"/>
      <c r="BI16" s="148">
        <v>15.27</v>
      </c>
      <c r="BJ16" s="93"/>
      <c r="BK16" s="148">
        <v>196.35</v>
      </c>
      <c r="BL16" s="93"/>
      <c r="BM16" s="148">
        <v>147.46</v>
      </c>
      <c r="BN16" s="93"/>
      <c r="BO16" s="148">
        <v>191.05</v>
      </c>
      <c r="BP16" s="93"/>
      <c r="BQ16" s="148">
        <v>153.51</v>
      </c>
      <c r="BR16" s="93"/>
      <c r="BS16" s="148">
        <v>115.87</v>
      </c>
      <c r="BT16" s="93"/>
      <c r="BU16" s="103">
        <f>AW16+AY16+BA16+BC16+BE16+BG16+BI16+BK16+BM16+BO16+BQ16+BS16</f>
        <v>2055.92</v>
      </c>
      <c r="BV16" s="93"/>
    </row>
    <row r="22" spans="37:40">
      <c r="AK22" s="151"/>
      <c r="AL22" s="127"/>
      <c r="AM22" s="6"/>
      <c r="AN22" s="5"/>
    </row>
    <row r="23" spans="37:40">
      <c r="AK23" s="151"/>
      <c r="AM23" s="6"/>
    </row>
  </sheetData>
  <autoFilter xmlns:etc="http://www.wps.cn/officeDocument/2017/etCustomData" ref="A1:AS23" etc:filterBottomFollowUsedRange="0">
    <extLst/>
  </autoFilter>
  <mergeCells count="153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188"/>
  <sheetViews>
    <sheetView tabSelected="1" workbookViewId="0">
      <pane xSplit="2" ySplit="4" topLeftCell="AP5" activePane="bottomRight" state="frozen"/>
      <selection/>
      <selection pane="topRight"/>
      <selection pane="bottomLeft"/>
      <selection pane="bottomRight" activeCell="AW1" sqref="AW$1:AW$1048576"/>
    </sheetView>
  </sheetViews>
  <sheetFormatPr defaultColWidth="9" defaultRowHeight="14.4"/>
  <cols>
    <col min="1" max="1" width="7.44444444444444" style="16" customWidth="1"/>
    <col min="2" max="2" width="21.8888888888889" style="16" customWidth="1"/>
    <col min="3" max="3" width="11" style="16" customWidth="1"/>
    <col min="4" max="4" width="8.88888888888889" style="16" customWidth="1"/>
    <col min="5" max="5" width="11" style="16" customWidth="1"/>
    <col min="6" max="6" width="8.88888888888889" style="16" customWidth="1"/>
    <col min="7" max="7" width="11" style="16" customWidth="1"/>
    <col min="8" max="8" width="8.88888888888889" style="16" customWidth="1"/>
    <col min="9" max="9" width="11" style="16" customWidth="1"/>
    <col min="10" max="10" width="8.88888888888889" style="16" customWidth="1"/>
    <col min="11" max="11" width="11" style="16" customWidth="1"/>
    <col min="12" max="12" width="8.88888888888889" style="16" customWidth="1"/>
    <col min="13" max="13" width="11" style="16" customWidth="1"/>
    <col min="14" max="14" width="8.88888888888889" style="16" customWidth="1"/>
    <col min="15" max="15" width="11" style="16" customWidth="1"/>
    <col min="16" max="16" width="8.88888888888889" style="16" customWidth="1"/>
    <col min="19" max="19" width="11.7777777777778" style="16" customWidth="1"/>
    <col min="20" max="20" width="8.88888888888889" style="16" customWidth="1"/>
    <col min="21" max="21" width="11.4444444444444" style="16" customWidth="1"/>
    <col min="22" max="22" width="11" style="16" customWidth="1"/>
    <col min="23" max="23" width="10.5555555555556" style="16" customWidth="1"/>
    <col min="24" max="24" width="11" style="16" customWidth="1"/>
    <col min="25" max="25" width="8.33333333333333" style="16" customWidth="1"/>
    <col min="26" max="28" width="11" style="16" customWidth="1"/>
    <col min="29" max="29" width="10.8888888888889" style="16" customWidth="1"/>
    <col min="30" max="30" width="11" style="16" customWidth="1"/>
    <col min="31" max="31" width="10.8888888888889" style="16" customWidth="1"/>
    <col min="32" max="32" width="11" style="16" customWidth="1"/>
    <col min="33" max="33" width="10.8888888888889" style="16" customWidth="1"/>
    <col min="34" max="34" width="11" style="16" customWidth="1"/>
    <col min="35" max="35" width="10.8888888888889" style="16" customWidth="1"/>
    <col min="36" max="36" width="11" style="16" customWidth="1"/>
    <col min="37" max="37" width="10.8888888888889" style="16" customWidth="1"/>
    <col min="38" max="38" width="11" style="16" customWidth="1"/>
    <col min="39" max="39" width="10.8888888888889" style="16" customWidth="1"/>
    <col min="40" max="40" width="11" style="16" customWidth="1"/>
    <col min="41" max="41" width="10.8888888888889" style="16" customWidth="1"/>
    <col min="42" max="42" width="11" style="16" customWidth="1"/>
    <col min="43" max="43" width="10.8888888888889" style="16" customWidth="1"/>
    <col min="44" max="44" width="11" style="16" customWidth="1"/>
    <col min="45" max="45" width="10.8888888888889" style="16" customWidth="1"/>
    <col min="46" max="46" width="13.1111111111111" style="16" customWidth="1"/>
    <col min="47" max="47" width="11.2222222222222" style="16" customWidth="1"/>
    <col min="48" max="48" width="6.77777777777778" style="16" customWidth="1"/>
    <col min="49" max="49" width="11" style="16" customWidth="1"/>
    <col min="50" max="50" width="10.7777777777778" style="16" hidden="1" customWidth="1"/>
    <col min="51" max="51" width="11" style="16" customWidth="1"/>
    <col min="52" max="52" width="8.88888888888889" style="16" hidden="1" customWidth="1"/>
    <col min="53" max="53" width="11.5555555555556" style="16" customWidth="1"/>
    <col min="54" max="54" width="10" style="16" hidden="1" customWidth="1"/>
    <col min="55" max="55" width="11" style="16" customWidth="1"/>
    <col min="56" max="56" width="9.88888888888889" style="16" hidden="1" customWidth="1"/>
    <col min="57" max="57" width="11" style="16" customWidth="1"/>
    <col min="58" max="58" width="10.7777777777778" style="16" hidden="1" customWidth="1"/>
    <col min="59" max="59" width="11" style="16" customWidth="1"/>
    <col min="60" max="60" width="13.1111111111111" style="16" hidden="1" customWidth="1"/>
    <col min="61" max="61" width="11" style="16" customWidth="1"/>
    <col min="62" max="62" width="13.1111111111111" style="16" hidden="1" customWidth="1"/>
    <col min="63" max="63" width="11" style="16" customWidth="1"/>
    <col min="64" max="64" width="13.1111111111111" style="16" customWidth="1"/>
    <col min="65" max="65" width="11" style="16" customWidth="1"/>
    <col min="66" max="66" width="13.1111111111111" style="16" customWidth="1"/>
    <col min="67" max="67" width="11" style="16" customWidth="1"/>
    <col min="69" max="69" width="11" style="16" customWidth="1"/>
    <col min="70" max="70" width="14" style="16" customWidth="1"/>
    <col min="71" max="71" width="11" style="16" customWidth="1"/>
    <col min="73" max="73" width="13" style="16" customWidth="1"/>
    <col min="76" max="87" width="11" style="16" customWidth="1"/>
    <col min="88" max="88" width="13" style="16" customWidth="1"/>
    <col min="89" max="89" width="9" style="16" customWidth="1"/>
  </cols>
  <sheetData>
    <row r="1" ht="50.55" customHeight="1" spans="1:88">
      <c r="A1" s="17" t="s">
        <v>291</v>
      </c>
      <c r="D1" s="18"/>
      <c r="F1" s="18"/>
      <c r="H1" s="18"/>
      <c r="J1" s="18"/>
      <c r="L1" s="18"/>
      <c r="N1" s="18"/>
      <c r="P1" s="18"/>
      <c r="Q1" s="127"/>
      <c r="R1" s="127"/>
      <c r="S1" s="19">
        <f>S5-(网约车!S5-网约车!S7)-(出租!S5-出租!S7)-(公交!S5-公交!S7)-班线包车!S4</f>
        <v>1.81898940354586e-11</v>
      </c>
      <c r="T1" s="128"/>
      <c r="U1" s="19"/>
      <c r="W1" s="18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7"/>
      <c r="AS1" s="18"/>
      <c r="AT1" s="19">
        <f>AT5-(网约车!AT5-网约车!AT7)-(出租!AT5-出租!AT7)-(公交!AT5-公交!AT7)-班线包车!AT4</f>
        <v>-5.82076609134674e-11</v>
      </c>
      <c r="AU1" s="18"/>
      <c r="AV1" s="19"/>
      <c r="AX1" s="18"/>
      <c r="AZ1" s="18"/>
      <c r="BB1" s="18"/>
      <c r="BD1" s="18"/>
      <c r="BF1" s="18"/>
      <c r="BH1" s="18"/>
      <c r="BJ1" s="18"/>
      <c r="BL1" s="18"/>
      <c r="BM1" s="127"/>
      <c r="BN1" s="18"/>
      <c r="BO1" s="19"/>
      <c r="BP1" s="18"/>
      <c r="BY1" s="127"/>
      <c r="CA1" s="19"/>
    </row>
    <row r="2" ht="40.5" customHeight="1" spans="1:88">
      <c r="A2" s="20" t="s">
        <v>292</v>
      </c>
      <c r="B2" s="21"/>
      <c r="Q2" s="127"/>
      <c r="S2" s="19">
        <f>S99-网约车!S6+网约车!S8-出租!S6+出租!S8-公交!S6+公交!S8-班线包车!S5</f>
        <v>0</v>
      </c>
      <c r="U2" s="19"/>
      <c r="AR2" s="127"/>
      <c r="AT2" s="19">
        <f>AT99-网约车!AT6+网约车!AT8-出租!AT6+出租!AT8-公交!AT6+公交!AT8-班线包车!AT5</f>
        <v>0</v>
      </c>
      <c r="AU2" s="18"/>
      <c r="AV2" s="19"/>
      <c r="BM2" s="127"/>
      <c r="BO2" s="19"/>
      <c r="BP2" s="18"/>
      <c r="BY2" s="127"/>
      <c r="CA2" s="19"/>
    </row>
    <row r="3" ht="28.05" customHeight="1" spans="1:88">
      <c r="A3" s="22" t="s">
        <v>1</v>
      </c>
      <c r="B3" s="23" t="s">
        <v>2</v>
      </c>
      <c r="C3" s="24" t="s">
        <v>151</v>
      </c>
      <c r="D3" s="25" t="s">
        <v>215</v>
      </c>
      <c r="E3" s="24" t="s">
        <v>197</v>
      </c>
      <c r="F3" s="25" t="s">
        <v>216</v>
      </c>
      <c r="G3" s="24" t="s">
        <v>198</v>
      </c>
      <c r="H3" s="25" t="s">
        <v>217</v>
      </c>
      <c r="I3" s="24" t="s">
        <v>199</v>
      </c>
      <c r="J3" s="25" t="s">
        <v>218</v>
      </c>
      <c r="K3" s="24" t="s">
        <v>200</v>
      </c>
      <c r="L3" s="25" t="s">
        <v>219</v>
      </c>
      <c r="M3" s="24" t="s">
        <v>201</v>
      </c>
      <c r="N3" s="25" t="s">
        <v>220</v>
      </c>
      <c r="O3" s="24" t="s">
        <v>202</v>
      </c>
      <c r="P3" s="25" t="s">
        <v>221</v>
      </c>
      <c r="Q3" s="24" t="s">
        <v>203</v>
      </c>
      <c r="R3" s="25" t="s">
        <v>222</v>
      </c>
      <c r="S3" s="129" t="s">
        <v>51</v>
      </c>
      <c r="T3" s="130" t="s">
        <v>44</v>
      </c>
      <c r="U3" s="25"/>
      <c r="V3" s="24" t="s">
        <v>13</v>
      </c>
      <c r="W3" s="25" t="s">
        <v>12</v>
      </c>
      <c r="X3" s="24" t="s">
        <v>14</v>
      </c>
      <c r="Y3" s="25" t="s">
        <v>12</v>
      </c>
      <c r="Z3" s="24" t="s">
        <v>15</v>
      </c>
      <c r="AA3" s="25" t="s">
        <v>12</v>
      </c>
      <c r="AB3" s="24" t="s">
        <v>16</v>
      </c>
      <c r="AC3" s="25" t="s">
        <v>12</v>
      </c>
      <c r="AD3" s="24" t="s">
        <v>17</v>
      </c>
      <c r="AE3" s="25" t="s">
        <v>12</v>
      </c>
      <c r="AF3" s="24" t="s">
        <v>18</v>
      </c>
      <c r="AG3" s="25" t="s">
        <v>12</v>
      </c>
      <c r="AH3" s="24" t="s">
        <v>19</v>
      </c>
      <c r="AI3" s="25" t="s">
        <v>12</v>
      </c>
      <c r="AJ3" s="24" t="s">
        <v>20</v>
      </c>
      <c r="AK3" s="25" t="s">
        <v>12</v>
      </c>
      <c r="AL3" s="24" t="s">
        <v>21</v>
      </c>
      <c r="AM3" s="25" t="s">
        <v>12</v>
      </c>
      <c r="AN3" s="24" t="s">
        <v>23</v>
      </c>
      <c r="AO3" s="25" t="s">
        <v>12</v>
      </c>
      <c r="AP3" s="24" t="s">
        <v>25</v>
      </c>
      <c r="AQ3" s="25" t="s">
        <v>12</v>
      </c>
      <c r="AR3" s="24" t="s">
        <v>27</v>
      </c>
      <c r="AS3" s="25" t="s">
        <v>12</v>
      </c>
      <c r="AT3" s="25" t="s">
        <v>29</v>
      </c>
      <c r="AU3" s="25" t="s">
        <v>44</v>
      </c>
      <c r="AV3" s="25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26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152</v>
      </c>
      <c r="CE3" s="24" t="s">
        <v>153</v>
      </c>
      <c r="CF3" s="24" t="s">
        <v>154</v>
      </c>
      <c r="CG3" s="24" t="s">
        <v>270</v>
      </c>
      <c r="CH3" s="24" t="s">
        <v>271</v>
      </c>
      <c r="CI3" s="24" t="s">
        <v>272</v>
      </c>
      <c r="CJ3" s="25" t="s">
        <v>51</v>
      </c>
    </row>
    <row r="4" ht="35.25" customHeight="1" spans="1:8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0"/>
      <c r="U4" s="3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30"/>
      <c r="AV4" s="32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26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3" customFormat="1" ht="27" customHeight="1" spans="1:88">
      <c r="A5" s="33" t="s">
        <v>80</v>
      </c>
      <c r="B5" s="34" t="s">
        <v>293</v>
      </c>
      <c r="C5" s="35">
        <f>C6+C7+C8+C9</f>
        <v>3733.7901</v>
      </c>
      <c r="D5" s="36">
        <f t="shared" ref="D5:D36" si="0">C5/V5-1</f>
        <v>0.103348196964459</v>
      </c>
      <c r="E5" s="35">
        <f>E6+E7+E8+E9</f>
        <v>3777.8315</v>
      </c>
      <c r="F5" s="36">
        <f t="shared" ref="F5:F36" si="1">E5/X5-1</f>
        <v>0.089489584528351</v>
      </c>
      <c r="G5" s="35">
        <f>G6+G7+G8+G9</f>
        <v>3874.4357</v>
      </c>
      <c r="H5" s="36">
        <f t="shared" ref="H5:H36" si="2">G5/Z5-1</f>
        <v>0.0916243146312681</v>
      </c>
      <c r="I5" s="35">
        <f>I6+I7+I8+I9</f>
        <v>3959.2493</v>
      </c>
      <c r="J5" s="36">
        <f t="shared" ref="J5:J36" si="3">I5/AB5-1</f>
        <v>0.0592090542091477</v>
      </c>
      <c r="K5" s="35">
        <f>K6+K7+K8+K9</f>
        <v>4115.86990000001</v>
      </c>
      <c r="L5" s="36">
        <f t="shared" ref="L5:L36" si="4">K5/AD5-1</f>
        <v>0.0495307205006261</v>
      </c>
      <c r="M5" s="35">
        <f>M6+M7+M8+M9</f>
        <v>4034.9928</v>
      </c>
      <c r="N5" s="36">
        <f t="shared" ref="N5:N36" si="5">M5/AF5-1</f>
        <v>0.0783548749023262</v>
      </c>
      <c r="O5" s="35">
        <f>O6+O7+O8+O9</f>
        <v>4028.3213</v>
      </c>
      <c r="P5" s="36">
        <f t="shared" ref="P5:P36" si="6">O5/AH5-1</f>
        <v>0.0162242857172765</v>
      </c>
      <c r="Q5" s="127"/>
      <c r="R5" s="127"/>
      <c r="S5" s="131">
        <f t="shared" ref="S5:S36" si="7">E5+C5+G5+I5+K5+M5+O5+Q5</f>
        <v>27524.4906</v>
      </c>
      <c r="T5" s="132">
        <f t="shared" ref="T5:T36" si="8">S5/SUM(V5,X5,Z5,AB5,AD5,AF5,AH5,AJ5)-1</f>
        <v>-0.0762572650690222</v>
      </c>
      <c r="U5" s="36"/>
      <c r="V5" s="35">
        <f>V6+V7+V8+V9</f>
        <v>3384.0542</v>
      </c>
      <c r="W5" s="36">
        <f t="shared" ref="W5:W12" si="9">V5/AW5-1</f>
        <v>0.0870706167944382</v>
      </c>
      <c r="X5" s="35">
        <f>X6+X7+X8+X9</f>
        <v>3467.5242</v>
      </c>
      <c r="Y5" s="36">
        <f t="shared" ref="Y5:Y12" si="10">X5/AY5-1</f>
        <v>0.165219866297203</v>
      </c>
      <c r="Z5" s="35">
        <f>Z6+Z7+Z8+Z9</f>
        <v>3549.2391</v>
      </c>
      <c r="AA5" s="36">
        <f t="shared" ref="AA5:AA12" si="11">Z5/BA5-1</f>
        <v>0.179696134869173</v>
      </c>
      <c r="AB5" s="35">
        <f>AB6+AB7+AB8+AB9</f>
        <v>3737.93</v>
      </c>
      <c r="AC5" s="36">
        <f t="shared" ref="AC5:AC12" si="12">AB5/BC5-1</f>
        <v>0.173963219213156</v>
      </c>
      <c r="AD5" s="35">
        <f>AD6+AD7+AD8+AD9</f>
        <v>3921.6288</v>
      </c>
      <c r="AE5" s="36">
        <f t="shared" ref="AE5:AE12" si="13">AD5/BE5-1</f>
        <v>0.201494761743739</v>
      </c>
      <c r="AF5" s="35">
        <f>AF6+AF7+AF8+AF9</f>
        <v>3741.8042</v>
      </c>
      <c r="AG5" s="36">
        <f t="shared" ref="AG5:AG12" si="14">AF5/BG5-1</f>
        <v>0.178127643113555</v>
      </c>
      <c r="AH5" s="35">
        <f>AH6+AH7+AH8+AH9</f>
        <v>3964.0081</v>
      </c>
      <c r="AI5" s="36">
        <f t="shared" ref="AI5:AI12" si="15">AH5/BI5-1</f>
        <v>0.22492765324458</v>
      </c>
      <c r="AJ5" s="35">
        <f>AJ6+AJ7+AJ8+AJ9</f>
        <v>4030.5173</v>
      </c>
      <c r="AK5" s="36">
        <f t="shared" ref="AK5:AK12" si="16">AJ5/BK5-1</f>
        <v>0.238128029722072</v>
      </c>
      <c r="AL5" s="35">
        <f>AL6+AL7+AL8+AL9</f>
        <v>3878.9901</v>
      </c>
      <c r="AM5" s="36">
        <f t="shared" ref="AM5:AM12" si="17">AL5/BM5-1</f>
        <v>0.214922842336627</v>
      </c>
      <c r="AN5" s="35">
        <f>AN6+AN7+AN8+AN9</f>
        <v>4073.2831</v>
      </c>
      <c r="AO5" s="36">
        <f t="shared" ref="AO5:AO12" si="18">AN5/BO5-1</f>
        <v>0.121444863520036</v>
      </c>
      <c r="AP5" s="35">
        <f>AP6+AP7+AP8+AP9</f>
        <v>3878.067</v>
      </c>
      <c r="AQ5" s="36">
        <f t="shared" ref="AQ5:AQ12" si="19">AP5/BQ5-1</f>
        <v>0.127148560758173</v>
      </c>
      <c r="AR5" s="35">
        <f>AR6+AR7+AR8+AR9</f>
        <v>3848.348</v>
      </c>
      <c r="AS5" s="36">
        <f t="shared" ref="AS5:AS12" si="20">AR5/BS5-1</f>
        <v>0.176515187321396</v>
      </c>
      <c r="AT5" s="35">
        <f t="shared" ref="AT5:AT36" si="21">X5+V5+Z5+AB5+AD5+AF5+AH5+AJ5+AL5+AN5+AP5+AR5</f>
        <v>45475.3941</v>
      </c>
      <c r="AU5" s="36">
        <f t="shared" ref="AU5:AU36" si="22">AT5/SUM(AW5,AY5,BA5,BC5,BE5,BG5,BI5,BK5,BM5,BO5,BQ5,BS5)-1</f>
        <v>0.173574090997452</v>
      </c>
      <c r="AV5" s="37"/>
      <c r="AW5" s="38">
        <f>AW6+AW7+AW8+AW9</f>
        <v>3113.0031</v>
      </c>
      <c r="AX5" s="37">
        <f>AW5/BX5-1</f>
        <v>0.156836815155982</v>
      </c>
      <c r="AY5" s="38">
        <f>AY6+AY7+AY8+AY9</f>
        <v>2975.854</v>
      </c>
      <c r="AZ5" s="37">
        <f>AY5/BY5-1</f>
        <v>0.000699939209204414</v>
      </c>
      <c r="BA5" s="38">
        <f>BA6+BA7+BA8+BA9</f>
        <v>3008.6045</v>
      </c>
      <c r="BB5" s="37">
        <f>BA5/BZ5-1</f>
        <v>-0.0633996487271412</v>
      </c>
      <c r="BC5" s="38">
        <f>BC6+BC7+BC8+BC9</f>
        <v>3184.0265</v>
      </c>
      <c r="BD5" s="37">
        <f>BC5/CA5-1</f>
        <v>-0.0353789400799289</v>
      </c>
      <c r="BE5" s="38">
        <f>BE6+BE7+BE8+BE9</f>
        <v>3263.9583</v>
      </c>
      <c r="BF5" s="37">
        <f>BE5/CB5-1</f>
        <v>-0.0145884436738164</v>
      </c>
      <c r="BG5" s="38">
        <f>BG6+BG7+BG8+BG9</f>
        <v>3176.0601</v>
      </c>
      <c r="BH5" s="37">
        <f>BG5/CC5-1</f>
        <v>-0.0196211580394804</v>
      </c>
      <c r="BI5" s="38">
        <f>BI6+BI7+BI8+BI9</f>
        <v>3236.1161</v>
      </c>
      <c r="BJ5" s="37">
        <f>BI5/CD5-1</f>
        <v>-0.0276018357473493</v>
      </c>
      <c r="BK5" s="38">
        <f>BK6+BK7+BK8+BK9</f>
        <v>3255.3316</v>
      </c>
      <c r="BL5" s="37">
        <f>BK5/CE5-1</f>
        <v>-0.0283510809590032</v>
      </c>
      <c r="BM5" s="38">
        <f>BM6+BM7+BM8+BM9</f>
        <v>3192.7872</v>
      </c>
      <c r="BN5" s="37">
        <f>BM5/CF5-1</f>
        <v>-0.0090492896601081</v>
      </c>
      <c r="BO5" s="38">
        <f>BO6+BO7+BO8+BO9</f>
        <v>3632.1742</v>
      </c>
      <c r="BP5" s="37">
        <f>BO5/CG5-1</f>
        <v>0.0970875293710554</v>
      </c>
      <c r="BQ5" s="38">
        <f>BQ6+BQ7+BQ8+BQ9</f>
        <v>3440.5997</v>
      </c>
      <c r="BR5" s="37">
        <f>BQ5/CH5-1</f>
        <v>0.0747531052373809</v>
      </c>
      <c r="BS5" s="38">
        <f>BS6+BS7+BS8+BS9</f>
        <v>3270.9718</v>
      </c>
      <c r="BT5" s="37">
        <f>BS5/CI5-1</f>
        <v>0.0267774633242501</v>
      </c>
      <c r="BU5" s="38">
        <f t="shared" ref="BU5:BU36" si="23">AW5+AY5+BA5+BC5+BE5+BG5+BI5+BK5+BM5+BO5+BQ5+BS5</f>
        <v>38749.4871</v>
      </c>
      <c r="BV5" s="37">
        <f>BU5/CJ5-1</f>
        <v>0.0110062799130159</v>
      </c>
      <c r="BW5" s="39"/>
      <c r="BX5" s="38">
        <f t="shared" ref="BX5:CI5" si="24">BX6+BX7+BX8+BX9</f>
        <v>2690.9613</v>
      </c>
      <c r="BY5" s="38">
        <f t="shared" si="24"/>
        <v>2973.77254</v>
      </c>
      <c r="BZ5" s="38">
        <f t="shared" si="24"/>
        <v>3212.2607</v>
      </c>
      <c r="CA5" s="38">
        <f t="shared" si="24"/>
        <v>3300.8055</v>
      </c>
      <c r="CB5" s="38">
        <f t="shared" si="24"/>
        <v>3312.2793</v>
      </c>
      <c r="CC5" s="38">
        <f t="shared" si="24"/>
        <v>3239.6253</v>
      </c>
      <c r="CD5" s="38">
        <f t="shared" si="24"/>
        <v>3327.9743</v>
      </c>
      <c r="CE5" s="38">
        <f t="shared" si="24"/>
        <v>3350.3167</v>
      </c>
      <c r="CF5" s="38">
        <f t="shared" si="24"/>
        <v>3221.9435</v>
      </c>
      <c r="CG5" s="38">
        <f t="shared" si="24"/>
        <v>3310.7424</v>
      </c>
      <c r="CH5" s="38">
        <f t="shared" si="24"/>
        <v>3201.2931</v>
      </c>
      <c r="CI5" s="38">
        <f t="shared" si="24"/>
        <v>3185.6677</v>
      </c>
      <c r="CJ5" s="38">
        <f>BX5+BY5+BZ5+CA5+CB5+CC5+CD5+CE5+CF5+CG5+CH5+CI5</f>
        <v>38327.64234</v>
      </c>
    </row>
    <row r="6" s="14" customFormat="1" ht="27" customHeight="1" spans="1:88">
      <c r="A6" s="27"/>
      <c r="B6" s="34" t="s">
        <v>294</v>
      </c>
      <c r="C6" s="35">
        <f>C11+C16+C21+C26+C31+C36+C41+C46+C51+C56+C61+C66+C71+C76+C81+C86+C91</f>
        <v>1473.3801</v>
      </c>
      <c r="D6" s="36">
        <f t="shared" si="0"/>
        <v>-0.127219049178381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-0.0849203354617905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-0.0619150767173847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127"/>
      <c r="R6" s="127"/>
      <c r="S6" s="131">
        <f t="shared" si="7"/>
        <v>11204.5406</v>
      </c>
      <c r="T6" s="132">
        <f t="shared" si="8"/>
        <v>-0.202586566513601</v>
      </c>
      <c r="U6" s="36"/>
      <c r="V6" s="35">
        <f>V11+V16+V21+V26+V31+V36+V41+V46+V51+V56+V61+V66+V71+V76+V81+V86+V91</f>
        <v>1688.1442</v>
      </c>
      <c r="W6" s="36">
        <f t="shared" si="9"/>
        <v>0.190499721053353</v>
      </c>
      <c r="X6" s="35">
        <f>X11+X16+X21+X26+X31+X36+X41+X46+X51+X56+X61+X66+X71+X76+X81+X86+X91</f>
        <v>1719.8742</v>
      </c>
      <c r="Y6" s="36">
        <f t="shared" si="10"/>
        <v>0.170584463846713</v>
      </c>
      <c r="Z6" s="35">
        <f>Z11+Z16+Z21+Z26+Z31+Z36+Z41+Z46+Z51+Z56+Z61+Z66+Z71+Z76+Z81+Z86+Z91</f>
        <v>1721.8891</v>
      </c>
      <c r="AA6" s="36">
        <f t="shared" si="11"/>
        <v>0.19615960797894</v>
      </c>
      <c r="AB6" s="35">
        <f>AB11+AB16+AB21+AB26+AB31+AB36+AB41+AB46+AB51+AB56+AB61+AB66+AB71+AB76+AB81+AB86+AB91</f>
        <v>1824.67</v>
      </c>
      <c r="AC6" s="36">
        <f t="shared" si="12"/>
        <v>0.17712557169459</v>
      </c>
      <c r="AD6" s="35">
        <f>AD11+AD16+AD21+AD26+AD31+AD36+AD41+AD46+AD51+AD56+AD61+AD66+AD71+AD76+AD81+AD86+AD91</f>
        <v>1811.8188</v>
      </c>
      <c r="AE6" s="36">
        <f t="shared" si="13"/>
        <v>0.129176853074476</v>
      </c>
      <c r="AF6" s="35">
        <f>AF11+AF16+AF21+AF26+AF31+AF36+AF41+AF46+AF51+AF56+AF61+AF66+AF71+AF76+AF81+AF86+AF91</f>
        <v>1718.0442</v>
      </c>
      <c r="AG6" s="36">
        <f t="shared" si="14"/>
        <v>0.128947823384797</v>
      </c>
      <c r="AH6" s="35">
        <f>AH11+AH16+AH21+AH26+AH31+AH36+AH41+AH46+AH51+AH56+AH61+AH66+AH71+AH76+AH81+AH86+AH91</f>
        <v>1781.8881</v>
      </c>
      <c r="AI6" s="36">
        <f t="shared" si="15"/>
        <v>0.151867270183039</v>
      </c>
      <c r="AJ6" s="35">
        <f>AJ11+AJ16+AJ21+AJ26+AJ31+AJ36+AJ41+AJ46+AJ51+AJ56+AJ61+AJ66+AJ71+AJ76+AJ81+AJ86+AJ91</f>
        <v>1784.7773</v>
      </c>
      <c r="AK6" s="36">
        <f t="shared" si="16"/>
        <v>0.108549342128963</v>
      </c>
      <c r="AL6" s="35">
        <f>AL11+AL16+AL21+AL26+AL31+AL36+AL41+AL46+AL51+AL56+AL61+AL66+AL71+AL76+AL81+AL86+AL91</f>
        <v>1666.8001</v>
      </c>
      <c r="AM6" s="36">
        <f t="shared" si="17"/>
        <v>0.0974185383397248</v>
      </c>
      <c r="AN6" s="35">
        <f>AN11+AN16+AN21+AN26+AN31+AN36+AN41+AN46+AN51+AN56+AN61+AN66+AN71+AN76+AN81+AN86+AN91</f>
        <v>1723.7631</v>
      </c>
      <c r="AO6" s="36">
        <f t="shared" si="18"/>
        <v>-0.0854029995476262</v>
      </c>
      <c r="AP6" s="35">
        <f>AP11+AP16+AP21+AP26+AP31+AP36+AP41+AP46+AP51+AP56+AP61+AP66+AP71+AP76+AP81+AP86+AP91</f>
        <v>1638.517</v>
      </c>
      <c r="AQ6" s="36">
        <f t="shared" si="19"/>
        <v>-0.0654879941405534</v>
      </c>
      <c r="AR6" s="35">
        <f>AR11+AR16+AR21+AR26+AR31+AR36+AR41+AR46+AR51+AR56+AR61+AR66+AR71+AR76+AR81+AR86+AR91</f>
        <v>1550.368</v>
      </c>
      <c r="AS6" s="36">
        <f t="shared" si="20"/>
        <v>-0.0600194572227873</v>
      </c>
      <c r="AT6" s="35">
        <f t="shared" si="21"/>
        <v>20630.5541</v>
      </c>
      <c r="AU6" s="36">
        <f t="shared" si="22"/>
        <v>0.0877383748500005</v>
      </c>
      <c r="AV6" s="37"/>
      <c r="AW6" s="35">
        <f>AW11+AW16+AW21+AW26+AW31+AW36+AW41+AW46+AW51+AW56+AW61+AW66+AW71+AW76+AW81+AW86+AW91</f>
        <v>1418.0131</v>
      </c>
      <c r="AX6" s="36">
        <f>AW6/BX6-1</f>
        <v>0.000594000174855447</v>
      </c>
      <c r="AY6" s="35">
        <f>AY11+AY16+AY21+AY26+AY31+AY36+AY41+AY46+AY51+AY56+AY61+AY66+AY71+AY76+AY81+AY86+AY91</f>
        <v>1469.244</v>
      </c>
      <c r="AZ6" s="36">
        <f>AY6/BY6-1</f>
        <v>-0.00757772635030673</v>
      </c>
      <c r="BA6" s="35">
        <f>BA11+BA16+BA21+BA26+BA31+BA36+BA41+BA46+BA51+BA56+BA61+BA66+BA71+BA76+BA81+BA86+BA91</f>
        <v>1439.5145</v>
      </c>
      <c r="BB6" s="36">
        <f>BA6/BZ6-1</f>
        <v>-0.0701055211274487</v>
      </c>
      <c r="BC6" s="35">
        <f>BC11+BC16+BC21+BC26+BC31+BC36+BC41+BC46+BC51+BC56+BC61+BC66+BC71+BC76+BC81+BC86+BC91</f>
        <v>1550.1065</v>
      </c>
      <c r="BD6" s="36">
        <f>BC6/CA6-1</f>
        <v>-0.0370367494333663</v>
      </c>
      <c r="BE6" s="35">
        <f>BE11+BE16+BE21+BE26+BE31+BE36+BE41+BE46+BE51+BE56+BE61+BE66+BE71+BE76+BE81+BE86+BE91</f>
        <v>1604.5483</v>
      </c>
      <c r="BF6" s="36">
        <f>BE6/CB6-1</f>
        <v>-0.0130711090846204</v>
      </c>
      <c r="BG6" s="35">
        <f>BG11+BG16+BG21+BG26+BG31+BG36+BG41+BG46+BG51+BG56+BG61+BG66+BG71+BG76+BG81+BG86+BG91</f>
        <v>1521.8101</v>
      </c>
      <c r="BH6" s="36">
        <f>BG6/CC6-1</f>
        <v>-0.048443639168071</v>
      </c>
      <c r="BI6" s="35">
        <f>BI11+BI16+BI21+BI26+BI31+BI36+BI41+BI46+BI51+BI56+BI61+BI66+BI71+BI76+BI81+BI86+BI91</f>
        <v>1546.9561</v>
      </c>
      <c r="BJ6" s="36">
        <f>BI6/CD6-1</f>
        <v>-0.079775770623408</v>
      </c>
      <c r="BK6" s="35">
        <f>BK11+BK16+BK21+BK26+BK31+BK36+BK41+BK46+BK51+BK56+BK61+BK66+BK71+BK76+BK81+BK86+BK91</f>
        <v>1610.0116</v>
      </c>
      <c r="BL6" s="36">
        <f>BK6/CE6-1</f>
        <v>-0.0473961945941365</v>
      </c>
      <c r="BM6" s="35">
        <f>BM11+BM16+BM21+BM26+BM31+BM36+BM41+BM46+BM51+BM56+BM61+BM66+BM71+BM76+BM81+BM86+BM91</f>
        <v>1518.8372</v>
      </c>
      <c r="BN6" s="36">
        <f>BM6/CF6-1</f>
        <v>-0.0246442122419311</v>
      </c>
      <c r="BO6" s="35">
        <f>BO11+BO16+BO21+BO26+BO31+BO36+BO41+BO46+BO51+BO56+BO61+BO66+BO71+BO76+BO81+BO86+BO91</f>
        <v>1884.7242</v>
      </c>
      <c r="BP6" s="36">
        <f>BO6/CG6-1</f>
        <v>0.156001316010281</v>
      </c>
      <c r="BQ6" s="35">
        <f>BQ11+BQ16+BQ21+BQ26+BQ31+BQ36+BQ41+BQ46+BQ51+BQ56+BQ61+BQ66+BQ71+BQ76+BQ81+BQ86+BQ91</f>
        <v>1753.3397</v>
      </c>
      <c r="BR6" s="36">
        <f>BQ6/CH6-1</f>
        <v>0.163322293090998</v>
      </c>
      <c r="BS6" s="35">
        <f>BS11+BS16+BS21+BS26+BS31+BS36+BS41+BS46+BS51+BS56+BS61+BS66+BS71+BS76+BS81+BS86+BS91</f>
        <v>1649.3618</v>
      </c>
      <c r="BT6" s="36">
        <f>BS6/CI6-1</f>
        <v>0.172572903070962</v>
      </c>
      <c r="BU6" s="35">
        <f t="shared" si="23"/>
        <v>18966.4671</v>
      </c>
      <c r="BV6" s="36">
        <f>BU6/CJ6-1</f>
        <v>0.011379728608101</v>
      </c>
      <c r="BW6" s="40"/>
      <c r="BX6" s="41">
        <v>1417.1713</v>
      </c>
      <c r="BY6" s="41">
        <v>1480.46254</v>
      </c>
      <c r="BZ6" s="41">
        <v>1548.0407</v>
      </c>
      <c r="CA6" s="41">
        <v>1609.7255</v>
      </c>
      <c r="CB6" s="41">
        <v>1625.7993</v>
      </c>
      <c r="CC6" s="41">
        <v>1599.2853</v>
      </c>
      <c r="CD6" s="41">
        <v>1681.0643</v>
      </c>
      <c r="CE6" s="41">
        <v>1690.1167</v>
      </c>
      <c r="CF6" s="41">
        <v>1557.2135</v>
      </c>
      <c r="CG6" s="41">
        <v>1630.3824</v>
      </c>
      <c r="CH6" s="41">
        <v>1507.1831</v>
      </c>
      <c r="CI6" s="41">
        <v>1406.6177</v>
      </c>
      <c r="CJ6" s="35">
        <f>BX6+BY6+BZ6+CA6+CB6+CC6+CD6+CE6+CF6+CG6+CH6+CI6</f>
        <v>18753.06234</v>
      </c>
    </row>
    <row r="7" s="14" customFormat="1" ht="27" customHeight="1" spans="1:88">
      <c r="A7" s="27"/>
      <c r="B7" s="34" t="s">
        <v>295</v>
      </c>
      <c r="C7" s="35">
        <f>C12+C17+C22+C27+C32+C37+C42+C47+C52+C57+C62+C67+C72+C77+C82+C87+C92</f>
        <v>1391.19</v>
      </c>
      <c r="D7" s="36">
        <f t="shared" si="0"/>
        <v>0.216255912154778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0.157193569939387</v>
      </c>
      <c r="I7" s="35">
        <f>I12+I17+I22+I27+I32+I37+I42+I47+I52+I57+I62+I67+I72+I77+I82+I87+I92</f>
        <v>1462.08</v>
      </c>
      <c r="J7" s="36">
        <f t="shared" si="3"/>
        <v>0.134529878715926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127"/>
      <c r="R7" s="127"/>
      <c r="S7" s="131">
        <f t="shared" si="7"/>
        <v>10194.09</v>
      </c>
      <c r="T7" s="132">
        <f t="shared" si="8"/>
        <v>-0.00823641006931741</v>
      </c>
      <c r="U7" s="36"/>
      <c r="V7" s="35">
        <f>V12+V17+V22+V27+V32+V37+V42+V47+V52+V57+V62+V67+V72+V77+V82+V87+V92</f>
        <v>1143.83</v>
      </c>
      <c r="W7" s="36">
        <f t="shared" si="9"/>
        <v>0.0489522674125358</v>
      </c>
      <c r="X7" s="35">
        <f>X12+X17+X22+X27+X32+X37+X42+X47+X52+X57+X62+X67+X72+X77+X82+X87+X92</f>
        <v>1146.53</v>
      </c>
      <c r="Y7" s="36">
        <f t="shared" si="10"/>
        <v>0.138955942979188</v>
      </c>
      <c r="Z7" s="35">
        <f>Z12+Z17+Z22+Z27+Z32+Z37+Z42+Z47+Z52+Z57+Z62+Z67+Z72+Z77+Z82+Z87+Z92</f>
        <v>1242.29</v>
      </c>
      <c r="AA7" s="36">
        <f t="shared" si="11"/>
        <v>0.185809875624027</v>
      </c>
      <c r="AB7" s="35">
        <f>AB12+AB17+AB22+AB27+AB32+AB37+AB42+AB47+AB52+AB57+AB62+AB67+AB72+AB77+AB82+AB87+AB92</f>
        <v>1288.71</v>
      </c>
      <c r="AC7" s="36">
        <f t="shared" si="12"/>
        <v>0.155876654827251</v>
      </c>
      <c r="AD7" s="35">
        <f>AD12+AD17+AD22+AD27+AD32+AD37+AD42+AD47+AD52+AD57+AD62+AD67+AD72+AD77+AD82+AD87+AD92</f>
        <v>1385.12</v>
      </c>
      <c r="AE7" s="36">
        <f t="shared" si="13"/>
        <v>0.242104130423086</v>
      </c>
      <c r="AF7" s="35">
        <f>AF12+AF17+AF22+AF27+AF32+AF37+AF42+AF47+AF52+AF57+AF62+AF67+AF72+AF77+AF82+AF87+AF92</f>
        <v>1377.95</v>
      </c>
      <c r="AG7" s="36">
        <f t="shared" si="14"/>
        <v>0.268783838532649</v>
      </c>
      <c r="AH7" s="35">
        <f>AH12+AH17+AH22+AH27+AH32+AH37+AH42+AH47+AH52+AH57+AH62+AH67+AH72+AH77+AH82+AH87+AH92</f>
        <v>1344.24</v>
      </c>
      <c r="AI7" s="36">
        <f t="shared" si="15"/>
        <v>0.226339701133067</v>
      </c>
      <c r="AJ7" s="35">
        <f>AJ12+AJ17+AJ22+AJ27+AJ32+AJ37+AJ42+AJ47+AJ52+AJ57+AJ62+AJ67+AJ72+AJ77+AJ82+AJ87+AJ92</f>
        <v>1350.08</v>
      </c>
      <c r="AK7" s="36">
        <f t="shared" si="16"/>
        <v>0.23069069561809</v>
      </c>
      <c r="AL7" s="35">
        <f>AL12+AL17+AL22+AL27+AL32+AL37+AL42+AL47+AL52+AL57+AL62+AL67+AL72+AL77+AL82+AL87+AL92</f>
        <v>1339.74</v>
      </c>
      <c r="AM7" s="36">
        <f t="shared" si="17"/>
        <v>0.223562719758892</v>
      </c>
      <c r="AN7" s="35">
        <f>AN12+AN17+AN22+AN27+AN32+AN37+AN42+AN47+AN52+AN57+AN62+AN67+AN72+AN77+AN82+AN87+AN92</f>
        <v>1426.42</v>
      </c>
      <c r="AO7" s="36">
        <f t="shared" si="18"/>
        <v>0.232839536049507</v>
      </c>
      <c r="AP7" s="35">
        <f>AP12+AP17+AP22+AP27+AP32+AP37+AP42+AP47+AP52+AP57+AP62+AP67+AP72+AP77+AP82+AP87+AP92</f>
        <v>1369.51</v>
      </c>
      <c r="AQ7" s="36">
        <f t="shared" si="19"/>
        <v>0.231518366979903</v>
      </c>
      <c r="AR7" s="35">
        <f>AR12+AR17+AR22+AR27+AR32+AR37+AR42+AR47+AR52+AR57+AR62+AR67+AR72+AR77+AR82+AR87+AR92</f>
        <v>1358.09</v>
      </c>
      <c r="AS7" s="36">
        <f t="shared" si="20"/>
        <v>0.239483795599121</v>
      </c>
      <c r="AT7" s="35">
        <f t="shared" si="21"/>
        <v>15772.51</v>
      </c>
      <c r="AU7" s="36">
        <f t="shared" si="22"/>
        <v>0.202751475747863</v>
      </c>
      <c r="AV7" s="37"/>
      <c r="AW7" s="35">
        <f>AW12+AW17+AW22+AW27+AW32+AW37+AW42+AW47+AW52+AW57+AW62+AW67+AW72+AW77+AW82+AW87+AW92</f>
        <v>1090.45</v>
      </c>
      <c r="AX7" s="36">
        <f>AW7/BX7-1</f>
        <v>0.4373368834524</v>
      </c>
      <c r="AY7" s="35">
        <f>AY12+AY17+AY22+AY27+AY32+AY37+AY42+AY47+AY52+AY57+AY62+AY67+AY72+AY77+AY82+AY87+AY92</f>
        <v>1006.65</v>
      </c>
      <c r="AZ7" s="36">
        <f>AY7/BY7-1</f>
        <v>0.0387044183502909</v>
      </c>
      <c r="BA7" s="35">
        <f>BA12+BA17+BA22+BA27+BA32+BA37+BA42+BA47+BA52+BA57+BA62+BA67+BA72+BA77+BA82+BA87+BA92</f>
        <v>1047.63</v>
      </c>
      <c r="BB7" s="36">
        <f>BA7/BZ7-1</f>
        <v>-0.0463606903582875</v>
      </c>
      <c r="BC7" s="35">
        <f>BC12+BC17+BC22+BC27+BC32+BC37+BC42+BC47+BC52+BC57+BC62+BC67+BC72+BC77+BC82+BC87+BC92</f>
        <v>1114.92</v>
      </c>
      <c r="BD7" s="36">
        <f>BC7/CA7-1</f>
        <v>-0.0165652288965334</v>
      </c>
      <c r="BE7" s="35">
        <f>BE12+BE17+BE22+BE27+BE32+BE37+BE42+BE47+BE52+BE57+BE62+BE67+BE72+BE77+BE82+BE87+BE92</f>
        <v>1115.14</v>
      </c>
      <c r="BF7" s="36">
        <f>BE7/CB7-1</f>
        <v>-0.00303076359149945</v>
      </c>
      <c r="BG7" s="35">
        <f>BG12+BG17+BG22+BG27+BG32+BG37+BG42+BG47+BG52+BG57+BG62+BG67+BG72+BG77+BG82+BG87+BG92</f>
        <v>1086.04</v>
      </c>
      <c r="BH7" s="36">
        <f>BG7/CC7-1</f>
        <v>0.00495984010067785</v>
      </c>
      <c r="BI7" s="35">
        <f>BI12+BI17+BI22+BI27+BI32+BI37+BI42+BI47+BI52+BI57+BI62+BI67+BI72+BI77+BI82+BI87+BI92</f>
        <v>1096.14</v>
      </c>
      <c r="BJ7" s="36">
        <f>BI7/CD7-1</f>
        <v>0.0282835673880621</v>
      </c>
      <c r="BK7" s="35">
        <f>BK12+BK17+BK22+BK27+BK32+BK37+BK42+BK47+BK52+BK57+BK62+BK67+BK72+BK77+BK82+BK87+BK92</f>
        <v>1097.01</v>
      </c>
      <c r="BL7" s="36">
        <f>BK7/CE7-1</f>
        <v>0.0168704405780438</v>
      </c>
      <c r="BM7" s="35">
        <f>BM12+BM17+BM22+BM27+BM32+BM37+BM42+BM47+BM52+BM57+BM62+BM67+BM72+BM77+BM82+BM87+BM92</f>
        <v>1094.95</v>
      </c>
      <c r="BN7" s="36">
        <f>BM7/CF7-1</f>
        <v>-0.00574785703908154</v>
      </c>
      <c r="BO7" s="35">
        <f>BO12+BO17+BO22+BO27+BO32+BO37+BO42+BO47+BO52+BO57+BO62+BO67+BO72+BO77+BO82+BO87+BO92</f>
        <v>1157.02</v>
      </c>
      <c r="BP7" s="36">
        <f>BO7/CG7-1</f>
        <v>0.0518746136223132</v>
      </c>
      <c r="BQ7" s="35">
        <f>BQ12+BQ17+BQ22+BQ27+BQ32+BQ37+BQ42+BQ47+BQ52+BQ57+BQ62+BQ67+BQ72+BQ77+BQ82+BQ87+BQ92</f>
        <v>1112.05</v>
      </c>
      <c r="BR7" s="36">
        <f>BQ7/CH7-1</f>
        <v>-0.0173372096105756</v>
      </c>
      <c r="BS7" s="35">
        <f>BS12+BS17+BS22+BS27+BS32+BS37+BS42+BS47+BS52+BS57+BS62+BS67+BS72+BS77+BS82+BS87+BS92</f>
        <v>1095.69</v>
      </c>
      <c r="BT7" s="36">
        <f>BS7/CI7-1</f>
        <v>-0.0845524651388189</v>
      </c>
      <c r="BU7" s="35">
        <f t="shared" si="23"/>
        <v>13113.69</v>
      </c>
      <c r="BV7" s="36">
        <f>BU7/CJ7-1</f>
        <v>0.0218032440721307</v>
      </c>
      <c r="BW7" s="40"/>
      <c r="BX7" s="41">
        <v>758.660000000002</v>
      </c>
      <c r="BY7" s="41">
        <v>969.139999999999</v>
      </c>
      <c r="BZ7" s="41">
        <v>1098.56</v>
      </c>
      <c r="CA7" s="41">
        <v>1133.7</v>
      </c>
      <c r="CB7" s="41">
        <v>1118.53</v>
      </c>
      <c r="CC7" s="41">
        <v>1080.68</v>
      </c>
      <c r="CD7" s="41">
        <v>1065.99</v>
      </c>
      <c r="CE7" s="41">
        <v>1078.81</v>
      </c>
      <c r="CF7" s="41">
        <v>1101.28</v>
      </c>
      <c r="CG7" s="41">
        <v>1099.96</v>
      </c>
      <c r="CH7" s="41">
        <v>1131.67</v>
      </c>
      <c r="CI7" s="41">
        <v>1196.89</v>
      </c>
      <c r="CJ7" s="35">
        <f>BX7+BY7+BZ7+CA7+CB7+CC7+CD7+CE7+CF7+CG7+CH7+CI7</f>
        <v>12833.87</v>
      </c>
    </row>
    <row r="8" s="14" customFormat="1" ht="27" customHeight="1" spans="1:88">
      <c r="A8" s="27"/>
      <c r="B8" s="34" t="s">
        <v>296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127"/>
      <c r="R8" s="127"/>
      <c r="S8" s="131">
        <f t="shared" si="7"/>
        <v>3640.95</v>
      </c>
      <c r="T8" s="132">
        <f t="shared" si="8"/>
        <v>-0.0442245801198081</v>
      </c>
      <c r="U8" s="36"/>
      <c r="V8" s="35">
        <f>V13+V18+V23+V28+V33+V38+V43+V48+V53+V58+V63+V68+V73+V78+V83+V88+V93</f>
        <v>409.54</v>
      </c>
      <c r="W8" s="36">
        <f t="shared" si="9"/>
        <v>-0.0472933677623473</v>
      </c>
      <c r="X8" s="35">
        <f>X13+X18+X23+X28+X33+X38+X43+X48+X53+X58+X63+X68+X73+X78+X83+X88+X93</f>
        <v>448.64</v>
      </c>
      <c r="Y8" s="36">
        <f t="shared" si="10"/>
        <v>0.155722713104407</v>
      </c>
      <c r="Z8" s="35">
        <f>Z13+Z18+Z23+Z28+Z33+Z38+Z43+Z48+Z53+Z58+Z63+Z68+Z73+Z78+Z83+Z88+Z93</f>
        <v>417.98</v>
      </c>
      <c r="AA8" s="36">
        <f t="shared" si="11"/>
        <v>0.119899257830294</v>
      </c>
      <c r="AB8" s="35">
        <f>AB13+AB18+AB23+AB28+AB33+AB38+AB43+AB48+AB53+AB58+AB63+AB68+AB73+AB78+AB83+AB88+AB93</f>
        <v>429.77</v>
      </c>
      <c r="AC8" s="36">
        <f t="shared" si="12"/>
        <v>0.200407798447014</v>
      </c>
      <c r="AD8" s="35">
        <f>AD13+AD18+AD23+AD28+AD33+AD38+AD43+AD48+AD53+AD58+AD63+AD68+AD73+AD78+AD83+AD88+AD93</f>
        <v>494.11</v>
      </c>
      <c r="AE8" s="36">
        <f t="shared" si="13"/>
        <v>0.330613453977487</v>
      </c>
      <c r="AF8" s="35">
        <f>AF13+AF18+AF23+AF28+AF33+AF38+AF43+AF48+AF53+AF58+AF63+AF68+AF73+AF78+AF83+AF88+AF93</f>
        <v>438.88</v>
      </c>
      <c r="AG8" s="36">
        <f t="shared" si="14"/>
        <v>0.154491648033671</v>
      </c>
      <c r="AH8" s="35">
        <f>AH13+AH18+AH23+AH28+AH33+AH38+AH43+AH48+AH53+AH58+AH63+AH68+AH73+AH78+AH83+AH88+AH93</f>
        <v>566.86</v>
      </c>
      <c r="AI8" s="36">
        <f t="shared" si="15"/>
        <v>0.436397729576324</v>
      </c>
      <c r="AJ8" s="35">
        <f>AJ13+AJ18+AJ23+AJ28+AJ33+AJ38+AJ43+AJ48+AJ53+AJ58+AJ63+AJ68+AJ73+AJ78+AJ83+AJ88+AJ93</f>
        <v>603.64</v>
      </c>
      <c r="AK8" s="36">
        <f t="shared" si="16"/>
        <v>0.682432620753087</v>
      </c>
      <c r="AL8" s="35">
        <f>AL13+AL18+AL23+AL28+AL33+AL38+AL43+AL48+AL53+AL58+AL63+AL68+AL73+AL78+AL83+AL88+AL93</f>
        <v>600.68</v>
      </c>
      <c r="AM8" s="36">
        <f t="shared" si="17"/>
        <v>0.558790709744389</v>
      </c>
      <c r="AN8" s="35">
        <f>AN13+AN18+AN23+AN28+AN33+AN38+AN43+AN48+AN53+AN58+AN63+AN68+AN73+AN78+AN83+AN88+AN93</f>
        <v>608.8</v>
      </c>
      <c r="AO8" s="36">
        <f t="shared" si="18"/>
        <v>0.539706626201315</v>
      </c>
      <c r="AP8" s="35">
        <f>AP13+AP18+AP23+AP28+AP33+AP38+AP43+AP48+AP53+AP58+AP63+AP68+AP73+AP78+AP83+AP88+AP93</f>
        <v>572.57</v>
      </c>
      <c r="AQ8" s="36">
        <f t="shared" si="19"/>
        <v>0.514254733946895</v>
      </c>
      <c r="AR8" s="35">
        <f>AR13+AR18+AR23+AR28+AR33+AR38+AR43+AR48+AR53+AR58+AR63+AR68+AR73+AR78+AR83+AR88+AR93</f>
        <v>596.03</v>
      </c>
      <c r="AS8" s="36">
        <f t="shared" si="20"/>
        <v>0.762672265925357</v>
      </c>
      <c r="AT8" s="35">
        <f t="shared" si="21"/>
        <v>6187.5</v>
      </c>
      <c r="AU8" s="36">
        <f t="shared" si="22"/>
        <v>0.35951960344873</v>
      </c>
      <c r="AV8" s="37"/>
      <c r="AW8" s="35">
        <f>AW13+AW18+AW23+AW28+AW33+AW38+AW43+AW48+AW53+AW58+AW63+AW68+AW73+AW78+AW83+AW88+AW93</f>
        <v>429.87</v>
      </c>
      <c r="AX8" s="36">
        <f>AW8/BX8-1</f>
        <v>0.048975109809666</v>
      </c>
      <c r="AY8" s="35">
        <f>AY13+AY18+AY23+AY28+AY33+AY38+AY43+AY48+AY53+AY58+AY63+AY68+AY73+AY78+AY83+AY88+AY93</f>
        <v>388.19</v>
      </c>
      <c r="AZ8" s="36">
        <f>AY8/BY8-1</f>
        <v>-0.041008918204501</v>
      </c>
      <c r="BA8" s="35">
        <f>BA13+BA18+BA23+BA28+BA33+BA38+BA43+BA48+BA53+BA58+BA63+BA68+BA73+BA78+BA83+BA88+BA93</f>
        <v>373.23</v>
      </c>
      <c r="BB8" s="36">
        <f>BA8/BZ8-1</f>
        <v>-0.141328854737037</v>
      </c>
      <c r="BC8" s="35">
        <f>BC13+BC18+BC23+BC28+BC33+BC38+BC43+BC48+BC53+BC58+BC63+BC68+BC73+BC78+BC83+BC88+BC93</f>
        <v>358.02</v>
      </c>
      <c r="BD8" s="36">
        <f>BC8/CA8-1</f>
        <v>-0.163934426229508</v>
      </c>
      <c r="BE8" s="35">
        <f>BE13+BE18+BE23+BE28+BE33+BE38+BE43+BE48+BE53+BE58+BE63+BE68+BE73+BE78+BE83+BE88+BE93</f>
        <v>371.34</v>
      </c>
      <c r="BF8" s="36">
        <f>BE8/CB8-1</f>
        <v>-0.14317358499273</v>
      </c>
      <c r="BG8" s="35">
        <f>BG13+BG18+BG23+BG28+BG33+BG38+BG43+BG48+BG53+BG58+BG63+BG68+BG73+BG78+BG83+BG88+BG93</f>
        <v>380.15</v>
      </c>
      <c r="BH8" s="36">
        <f>BG8/CC8-1</f>
        <v>-0.0951394839569644</v>
      </c>
      <c r="BI8" s="35">
        <f>BI13+BI18+BI23+BI28+BI33+BI38+BI43+BI48+BI53+BI58+BI63+BI68+BI73+BI78+BI83+BI88+BI93</f>
        <v>394.64</v>
      </c>
      <c r="BJ8" s="36">
        <f>BI8/CD8-1</f>
        <v>-0.0838517968242179</v>
      </c>
      <c r="BK8" s="35">
        <f>BK13+BK18+BK23+BK28+BK33+BK38+BK43+BK48+BK53+BK58+BK63+BK68+BK73+BK78+BK83+BK88+BK93</f>
        <v>358.79</v>
      </c>
      <c r="BL8" s="36">
        <f>BK8/CE8-1</f>
        <v>-0.166651182236262</v>
      </c>
      <c r="BM8" s="35">
        <f>BM13+BM18+BM23+BM28+BM33+BM38+BM43+BM48+BM53+BM58+BM63+BM68+BM73+BM78+BM83+BM88+BM93</f>
        <v>385.35</v>
      </c>
      <c r="BN8" s="36">
        <f>BM8/CF8-1</f>
        <v>-0.079079437912248</v>
      </c>
      <c r="BO8" s="35">
        <f>BO13+BO18+BO23+BO28+BO33+BO38+BO43+BO48+BO53+BO58+BO63+BO68+BO73+BO78+BO83+BO88+BO93</f>
        <v>395.4</v>
      </c>
      <c r="BP8" s="36">
        <f>BO8/CG8-1</f>
        <v>-0.0853997039230224</v>
      </c>
      <c r="BQ8" s="35">
        <f>BQ13+BQ18+BQ23+BQ28+BQ33+BQ38+BQ43+BQ48+BQ53+BQ58+BQ63+BQ68+BQ73+BQ78+BQ83+BQ88+BQ93</f>
        <v>378.12</v>
      </c>
      <c r="BR8" s="36">
        <f>BQ8/CH8-1</f>
        <v>-0.0809615244391488</v>
      </c>
      <c r="BS8" s="35">
        <f>BS13+BS18+BS23+BS28+BS33+BS38+BS43+BS48+BS53+BS58+BS63+BS68+BS73+BS78+BS83+BS88+BS93</f>
        <v>338.14</v>
      </c>
      <c r="BT8" s="36">
        <f>BS8/CI8-1</f>
        <v>-0.192115637319317</v>
      </c>
      <c r="BU8" s="35">
        <f t="shared" si="23"/>
        <v>4551.24</v>
      </c>
      <c r="BV8" s="36">
        <f>BU8/CJ8-1</f>
        <v>-0.102853921332855</v>
      </c>
      <c r="BW8" s="40"/>
      <c r="BX8" s="41">
        <v>409.799999999999</v>
      </c>
      <c r="BY8" s="41">
        <v>404.79</v>
      </c>
      <c r="BZ8" s="41">
        <v>434.66</v>
      </c>
      <c r="CA8" s="41">
        <v>428.22</v>
      </c>
      <c r="CB8" s="41">
        <v>433.389999999999</v>
      </c>
      <c r="CC8" s="41">
        <v>420.12</v>
      </c>
      <c r="CD8" s="41">
        <v>430.76</v>
      </c>
      <c r="CE8" s="41">
        <v>430.54</v>
      </c>
      <c r="CF8" s="41">
        <v>418.440000000001</v>
      </c>
      <c r="CG8" s="41">
        <v>432.320000000001</v>
      </c>
      <c r="CH8" s="41">
        <v>411.429999999999</v>
      </c>
      <c r="CI8" s="41">
        <v>418.55</v>
      </c>
      <c r="CJ8" s="35">
        <f>BX8+BY8+BZ8+CA8+CB8+CC8+CD8+CE8+CF8+CG8+CH8+CI8</f>
        <v>5073.02</v>
      </c>
    </row>
    <row r="9" s="14" customFormat="1" ht="27" customHeight="1" spans="1:88">
      <c r="A9" s="42"/>
      <c r="B9" s="34" t="s">
        <v>297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127"/>
      <c r="R9" s="127"/>
      <c r="S9" s="131">
        <f t="shared" si="7"/>
        <v>2484.91</v>
      </c>
      <c r="T9" s="132">
        <f t="shared" si="8"/>
        <v>0.499254870492269</v>
      </c>
      <c r="U9" s="36"/>
      <c r="V9" s="35">
        <f>V14+V19+V24+V29+V34+V39+V44+V49+V54+V59+V64+V69+V74+V79+V84+V89+V94</f>
        <v>142.539999999999</v>
      </c>
      <c r="W9" s="36">
        <f t="shared" si="9"/>
        <v>-0.183946871242919</v>
      </c>
      <c r="X9" s="35">
        <f>X14+X19+X24+X29+X34+X39+X44+X49+X54+X59+X64+X69+X74+X79+X84+X89+X94</f>
        <v>152.479999999999</v>
      </c>
      <c r="Y9" s="36">
        <f t="shared" si="10"/>
        <v>0.36423011541557</v>
      </c>
      <c r="Z9" s="35">
        <f>Z14+Z19+Z24+Z29+Z34+Z39+Z44+Z49+Z54+Z59+Z64+Z69+Z74+Z79+Z84+Z89+Z94</f>
        <v>167.08</v>
      </c>
      <c r="AA9" s="36">
        <f t="shared" si="11"/>
        <v>0.127167240099846</v>
      </c>
      <c r="AB9" s="35">
        <f>AB14+AB19+AB24+AB29+AB34+AB39+AB44+AB49+AB54+AB59+AB64+AB69+AB74+AB79+AB84+AB89+AB94</f>
        <v>194.779999999999</v>
      </c>
      <c r="AC9" s="36">
        <f t="shared" si="12"/>
        <v>0.209963970679577</v>
      </c>
      <c r="AD9" s="35">
        <f>AD14+AD19+AD24+AD29+AD34+AD39+AD44+AD49+AD54+AD59+AD64+AD69+AD74+AD79+AD84+AD89+AD94</f>
        <v>230.579999999999</v>
      </c>
      <c r="AE9" s="36">
        <f t="shared" si="13"/>
        <v>0.333371884577571</v>
      </c>
      <c r="AF9" s="35">
        <f>AF14+AF19+AF24+AF29+AF34+AF39+AF44+AF49+AF54+AF59+AF64+AF69+AF74+AF79+AF84+AF89+AF94</f>
        <v>206.930000000002</v>
      </c>
      <c r="AG9" s="36">
        <f t="shared" si="14"/>
        <v>0.10034031692014</v>
      </c>
      <c r="AH9" s="35">
        <f>AH14+AH19+AH24+AH29+AH34+AH39+AH44+AH49+AH54+AH59+AH64+AH69+AH74+AH79+AH84+AH89+AH94</f>
        <v>271.02</v>
      </c>
      <c r="AI9" s="36">
        <f t="shared" si="15"/>
        <v>0.366165944147598</v>
      </c>
      <c r="AJ9" s="35">
        <f>AJ14+AJ19+AJ24+AJ29+AJ34+AJ39+AJ44+AJ49+AJ54+AJ59+AJ64+AJ69+AJ74+AJ79+AJ84+AJ89+AJ94</f>
        <v>292.020000000001</v>
      </c>
      <c r="AK9" s="36">
        <f t="shared" si="16"/>
        <v>0.540840016884768</v>
      </c>
      <c r="AL9" s="35">
        <f>AL14+AL19+AL24+AL29+AL34+AL39+AL44+AL49+AL54+AL59+AL64+AL69+AL74+AL79+AL84+AL89+AL94</f>
        <v>271.769999999999</v>
      </c>
      <c r="AM9" s="36">
        <f t="shared" si="17"/>
        <v>0.403408210689388</v>
      </c>
      <c r="AN9" s="35">
        <f>AN14+AN19+AN24+AN29+AN34+AN39+AN44+AN49+AN54+AN59+AN64+AN69+AN74+AN79+AN84+AN89+AN94</f>
        <v>314.299999999996</v>
      </c>
      <c r="AO9" s="36">
        <f t="shared" si="18"/>
        <v>0.611546941496164</v>
      </c>
      <c r="AP9" s="35">
        <f>AP14+AP19+AP24+AP29+AP34+AP39+AP44+AP49+AP54+AP59+AP64+AP69+AP74+AP79+AP84+AP89+AP94</f>
        <v>297.470000000001</v>
      </c>
      <c r="AQ9" s="36">
        <f t="shared" si="19"/>
        <v>0.509310467299203</v>
      </c>
      <c r="AR9" s="35">
        <f>AR14+AR19+AR24+AR29+AR34+AR39+AR44+AR49+AR54+AR59+AR64+AR69+AR74+AR79+AR84+AR89+AR94</f>
        <v>343.86</v>
      </c>
      <c r="AS9" s="36">
        <f t="shared" si="20"/>
        <v>0.831185429758234</v>
      </c>
      <c r="AT9" s="35">
        <f t="shared" si="21"/>
        <v>2884.83</v>
      </c>
      <c r="AU9" s="36">
        <f t="shared" si="22"/>
        <v>0.361995949180628</v>
      </c>
      <c r="AV9" s="37"/>
      <c r="AW9" s="35">
        <f>AW14+AW19+AW24+AW29+AW34+AW39+AW44+AW49+AW54+AW59+AW64+AW69+AW74+AW79+AW84+AW89+AW94</f>
        <v>174.67</v>
      </c>
      <c r="AX9" s="36">
        <f>AW9/BX9-1</f>
        <v>0.658311971897843</v>
      </c>
      <c r="AY9" s="35">
        <f>AY14+AY19+AY24+AY29+AY34+AY39+AY44+AY49+AY54+AY59+AY64+AY69+AY74+AY79+AY84+AY89+AY94</f>
        <v>111.77</v>
      </c>
      <c r="AZ9" s="36">
        <f>AY9/BY9-1</f>
        <v>-0.0637460211090612</v>
      </c>
      <c r="BA9" s="35">
        <f>BA14+BA19+BA24+BA29+BA34+BA39+BA44+BA49+BA54+BA59+BA64+BA69+BA74+BA79+BA84+BA89+BA94</f>
        <v>148.23</v>
      </c>
      <c r="BB9" s="36">
        <f>BA9/BZ9-1</f>
        <v>0.131526717557253</v>
      </c>
      <c r="BC9" s="35">
        <f>BC14+BC19+BC24+BC29+BC34+BC39+BC44+BC49+BC54+BC59+BC64+BC69+BC74+BC79+BC84+BC89+BC94</f>
        <v>160.98</v>
      </c>
      <c r="BD9" s="36">
        <f>BC9/CA9-1</f>
        <v>0.24636110250852</v>
      </c>
      <c r="BE9" s="35">
        <f>BE14+BE19+BE24+BE29+BE34+BE39+BE44+BE49+BE54+BE59+BE64+BE69+BE74+BE79+BE84+BE89+BE94</f>
        <v>172.93</v>
      </c>
      <c r="BF9" s="36">
        <f>BE9/CB9-1</f>
        <v>0.285151605231867</v>
      </c>
      <c r="BG9" s="35">
        <f>BG14+BG19+BG24+BG29+BG34+BG39+BG44+BG49+BG54+BG59+BG64+BG69+BG74+BG79+BG84+BG89+BG94</f>
        <v>188.06</v>
      </c>
      <c r="BH9" s="36">
        <f>BG9/CC9-1</f>
        <v>0.347713917156371</v>
      </c>
      <c r="BI9" s="35">
        <f>BI14+BI19+BI24+BI29+BI34+BI39+BI44+BI49+BI54+BI59+BI64+BI69+BI74+BI79+BI84+BI89+BI94</f>
        <v>198.38</v>
      </c>
      <c r="BJ9" s="36">
        <f>BI9/CD9-1</f>
        <v>0.321124134256792</v>
      </c>
      <c r="BK9" s="35">
        <f>BK14+BK19+BK24+BK29+BK34+BK39+BK44+BK49+BK54+BK59+BK64+BK69+BK74+BK79+BK84+BK89+BK94</f>
        <v>189.52</v>
      </c>
      <c r="BL9" s="36">
        <f>BK9/CE9-1</f>
        <v>0.25634736493205</v>
      </c>
      <c r="BM9" s="35">
        <f>BM14+BM19+BM24+BM29+BM34+BM39+BM44+BM49+BM54+BM59+BM64+BM69+BM74+BM79+BM84+BM89+BM94</f>
        <v>193.649999999999</v>
      </c>
      <c r="BN9" s="36">
        <f>BM9/CF9-1</f>
        <v>0.335425143093575</v>
      </c>
      <c r="BO9" s="35">
        <f>BO14+BO19+BO24+BO29+BO34+BO39+BO44+BO49+BO54+BO59+BO64+BO69+BO74+BO79+BO84+BO89+BO94</f>
        <v>195.03</v>
      </c>
      <c r="BP9" s="36">
        <f>BO9/CG9-1</f>
        <v>0.317058346839544</v>
      </c>
      <c r="BQ9" s="35">
        <f>BQ14+BQ19+BQ24+BQ29+BQ34+BQ39+BQ44+BQ49+BQ54+BQ59+BQ64+BQ69+BQ74+BQ79+BQ84+BQ89+BQ94</f>
        <v>197.09</v>
      </c>
      <c r="BR9" s="36">
        <f>BQ9/CH9-1</f>
        <v>0.30514535461228</v>
      </c>
      <c r="BS9" s="35">
        <f>BS14+BS19+BS24+BS29+BS34+BS39+BS44+BS49+BS54+BS59+BS64+BS69+BS74+BS79+BS84+BS89+BS94</f>
        <v>187.78</v>
      </c>
      <c r="BT9" s="36">
        <f>BS9/CI9-1</f>
        <v>0.147729356396305</v>
      </c>
      <c r="BU9" s="35">
        <f t="shared" si="23"/>
        <v>2118.09</v>
      </c>
      <c r="BV9" s="36">
        <f>BU9/CJ9-1</f>
        <v>0.270074174456883</v>
      </c>
      <c r="BW9" s="40"/>
      <c r="BX9" s="41">
        <v>105.33</v>
      </c>
      <c r="BY9" s="41">
        <v>119.38</v>
      </c>
      <c r="BZ9" s="41">
        <v>131</v>
      </c>
      <c r="CA9" s="41">
        <v>129.16</v>
      </c>
      <c r="CB9" s="41">
        <v>134.56</v>
      </c>
      <c r="CC9" s="41">
        <v>139.54</v>
      </c>
      <c r="CD9" s="41">
        <v>150.16</v>
      </c>
      <c r="CE9" s="41">
        <v>150.85</v>
      </c>
      <c r="CF9" s="41">
        <v>145.01</v>
      </c>
      <c r="CG9" s="41">
        <v>148.08</v>
      </c>
      <c r="CH9" s="41">
        <v>151.01</v>
      </c>
      <c r="CI9" s="41">
        <v>163.61</v>
      </c>
      <c r="CJ9" s="35">
        <f>BX9+BY9+BZ9+CA9+CB9+CC9+CD9+CE9+CF9+CG9+CH9+CI9</f>
        <v>1667.69</v>
      </c>
    </row>
    <row r="10" s="13" customFormat="1" ht="27" customHeight="1" spans="1:88">
      <c r="A10" s="43" t="s">
        <v>87</v>
      </c>
      <c r="B10" s="34" t="s">
        <v>293</v>
      </c>
      <c r="C10" s="35">
        <f>C11+C12+C13+C14</f>
        <v>349.5304</v>
      </c>
      <c r="D10" s="36">
        <f t="shared" si="0"/>
        <v>0.270557615412575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356.885999999999</v>
      </c>
      <c r="H10" s="36">
        <f t="shared" si="2"/>
        <v>0.0727406186370225</v>
      </c>
      <c r="I10" s="35">
        <f>I11+I12+I13+I14</f>
        <v>362.127</v>
      </c>
      <c r="J10" s="36">
        <f t="shared" si="3"/>
        <v>0.00836959545423954</v>
      </c>
      <c r="K10" s="35">
        <f>K11+K12+K13+K14</f>
        <v>353.1777</v>
      </c>
      <c r="L10" s="36">
        <f t="shared" si="4"/>
        <v>0.0565464544824692</v>
      </c>
      <c r="M10" s="35">
        <f>M11+M12+M13+M14</f>
        <v>364.9459</v>
      </c>
      <c r="N10" s="36">
        <f t="shared" si="5"/>
        <v>0.0518276268749842</v>
      </c>
      <c r="O10" s="35">
        <f>O11+O12+O13+O14</f>
        <v>366.827</v>
      </c>
      <c r="P10" s="36">
        <f t="shared" si="6"/>
        <v>-0.00823874489252163</v>
      </c>
      <c r="Q10" s="127"/>
      <c r="R10" s="127"/>
      <c r="S10" s="131">
        <f t="shared" si="7"/>
        <v>2410.3495</v>
      </c>
      <c r="T10" s="132">
        <f t="shared" si="8"/>
        <v>-0.0860381323163457</v>
      </c>
      <c r="U10" s="36"/>
      <c r="V10" s="35">
        <f>V11+V12+V13+V14</f>
        <v>275.1</v>
      </c>
      <c r="W10" s="36">
        <f t="shared" si="9"/>
        <v>3.19782738399513</v>
      </c>
      <c r="X10" s="35">
        <f>X11+X12+X13+X14</f>
        <v>271.202099999999</v>
      </c>
      <c r="Y10" s="36">
        <f t="shared" si="10"/>
        <v>4.38785715137139</v>
      </c>
      <c r="Z10" s="35">
        <f>Z11+Z12+Z13+Z14</f>
        <v>332.686199999999</v>
      </c>
      <c r="AA10" s="36">
        <f t="shared" si="11"/>
        <v>3.10361471047162</v>
      </c>
      <c r="AB10" s="35">
        <f>AB11+AB12+AB13+AB14</f>
        <v>359.1213</v>
      </c>
      <c r="AC10" s="36">
        <f t="shared" si="12"/>
        <v>3.11906736357472</v>
      </c>
      <c r="AD10" s="35">
        <f>AD11+AD12+AD13+AD14</f>
        <v>334.2756</v>
      </c>
      <c r="AE10" s="36">
        <f t="shared" si="13"/>
        <v>2.80650649248607</v>
      </c>
      <c r="AF10" s="35">
        <f>AF11+AF12+AF13+AF14</f>
        <v>346.963599999999</v>
      </c>
      <c r="AG10" s="36">
        <f t="shared" si="14"/>
        <v>3.30801436817643</v>
      </c>
      <c r="AH10" s="35">
        <f>AH11+AH12+AH13+AH14</f>
        <v>369.8743</v>
      </c>
      <c r="AI10" s="36">
        <f t="shared" si="15"/>
        <v>3.91700465944818</v>
      </c>
      <c r="AJ10" s="35">
        <f>AJ11+AJ12+AJ13+AJ14</f>
        <v>348.0308</v>
      </c>
      <c r="AK10" s="36">
        <f t="shared" si="16"/>
        <v>4.16606846513068</v>
      </c>
      <c r="AL10" s="35">
        <f>AL11+AL12+AL13+AL14</f>
        <v>375.262199999999</v>
      </c>
      <c r="AM10" s="36">
        <f t="shared" si="17"/>
        <v>3.73559995356045</v>
      </c>
      <c r="AN10" s="35">
        <f>AN11+AN12+AN13+AN14</f>
        <v>359.8822</v>
      </c>
      <c r="AO10" s="36">
        <f t="shared" si="18"/>
        <v>0.102935750125347</v>
      </c>
      <c r="AP10" s="35">
        <f>AP11+AP12+AP13+AP14</f>
        <v>383.641600000001</v>
      </c>
      <c r="AQ10" s="36">
        <f t="shared" si="19"/>
        <v>0.159131217191475</v>
      </c>
      <c r="AR10" s="35">
        <f>AR11+AR12+AR13+AR14</f>
        <v>382.2592</v>
      </c>
      <c r="AS10" s="36">
        <f t="shared" si="20"/>
        <v>0.175265446797653</v>
      </c>
      <c r="AT10" s="35">
        <f t="shared" si="21"/>
        <v>4138.2991</v>
      </c>
      <c r="AU10" s="36">
        <f t="shared" si="22"/>
        <v>1.49770759245211</v>
      </c>
      <c r="AV10" s="37"/>
      <c r="AW10" s="38">
        <f>AW11+AW12+AW13+AW14</f>
        <v>65.5339000000004</v>
      </c>
      <c r="AX10" s="37"/>
      <c r="AY10" s="38">
        <f>AY11+AY12+AY13+AY14</f>
        <v>50.3357999999999</v>
      </c>
      <c r="AZ10" s="37"/>
      <c r="BA10" s="38">
        <f>BA11+BA12+BA13+BA14</f>
        <v>81.0714999999999</v>
      </c>
      <c r="BB10" s="37"/>
      <c r="BC10" s="38">
        <f>BC11+BC12+BC13+BC14</f>
        <v>87.1851000000003</v>
      </c>
      <c r="BD10" s="37"/>
      <c r="BE10" s="38">
        <f>BE11+BE12+BE13+BE14</f>
        <v>87.8169</v>
      </c>
      <c r="BF10" s="37"/>
      <c r="BG10" s="38">
        <f>BG11+BG12+BG13+BG14</f>
        <v>80.5391000000002</v>
      </c>
      <c r="BH10" s="37"/>
      <c r="BI10" s="38">
        <f>BI11+BI12+BI13+BI14</f>
        <v>75.2235</v>
      </c>
      <c r="BJ10" s="37"/>
      <c r="BK10" s="38">
        <f>BK11+BK12+BK13+BK14</f>
        <v>67.3685999999995</v>
      </c>
      <c r="BL10" s="37"/>
      <c r="BM10" s="38">
        <f>BM11+BM12+BM13+BM14</f>
        <v>79.2427999999999</v>
      </c>
      <c r="BN10" s="37"/>
      <c r="BO10" s="38">
        <f>BO11+BO12+BO13+BO14</f>
        <v>326.2948</v>
      </c>
      <c r="BP10" s="37"/>
      <c r="BQ10" s="38">
        <f>BQ11+BQ12+BQ13+BQ14</f>
        <v>330.9734</v>
      </c>
      <c r="BR10" s="37"/>
      <c r="BS10" s="38">
        <f>BS11+BS12+BS13+BS14</f>
        <v>325.2535</v>
      </c>
      <c r="BT10" s="37"/>
      <c r="BU10" s="38">
        <f t="shared" si="23"/>
        <v>1656.8389</v>
      </c>
      <c r="BV10" s="37"/>
      <c r="BW10" s="39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</row>
    <row r="11" s="14" customFormat="1" ht="27" customHeight="1" spans="1:88">
      <c r="A11" s="45"/>
      <c r="B11" s="34" t="s">
        <v>294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-0.0655707987386608</v>
      </c>
      <c r="G11" s="35">
        <f>班线包车!G8</f>
        <v>326.996</v>
      </c>
      <c r="H11" s="36">
        <f t="shared" si="2"/>
        <v>0.0543625671559786</v>
      </c>
      <c r="I11" s="35">
        <f>班线包车!I8</f>
        <v>335.787</v>
      </c>
      <c r="J11" s="36">
        <f t="shared" si="3"/>
        <v>-0.00401701007856359</v>
      </c>
      <c r="K11" s="35">
        <f>班线包车!K8</f>
        <v>327.5977</v>
      </c>
      <c r="L11" s="36">
        <f t="shared" si="4"/>
        <v>0.0430536469563378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-2.10724247694527e-5</v>
      </c>
      <c r="Q11" s="127"/>
      <c r="R11" s="127"/>
      <c r="S11" s="131">
        <f t="shared" si="7"/>
        <v>2237.9395</v>
      </c>
      <c r="T11" s="132">
        <f t="shared" si="8"/>
        <v>-0.0912341151002194</v>
      </c>
      <c r="U11" s="36"/>
      <c r="V11" s="35">
        <v>255.17</v>
      </c>
      <c r="W11" s="36">
        <f t="shared" si="9"/>
        <v>5.77132674696621</v>
      </c>
      <c r="X11" s="35">
        <v>252.6521</v>
      </c>
      <c r="Y11" s="36">
        <f t="shared" si="10"/>
        <v>6.8376246285186</v>
      </c>
      <c r="Z11" s="35">
        <f>班线包车!Z8</f>
        <v>310.1362</v>
      </c>
      <c r="AA11" s="36">
        <f t="shared" si="11"/>
        <v>4.97432553480443</v>
      </c>
      <c r="AB11" s="35">
        <f>班线包车!AB8</f>
        <v>337.1413</v>
      </c>
      <c r="AC11" s="36">
        <f t="shared" si="12"/>
        <v>4.70989463986004</v>
      </c>
      <c r="AD11" s="35">
        <f>班线包车!AD8</f>
        <v>314.0756</v>
      </c>
      <c r="AE11" s="36">
        <f t="shared" si="13"/>
        <v>4.34352100910392</v>
      </c>
      <c r="AF11" s="35">
        <f>班线包车!AF8</f>
        <v>322.6236</v>
      </c>
      <c r="AG11" s="36">
        <f t="shared" si="14"/>
        <v>4.97571732071844</v>
      </c>
      <c r="AH11" s="35">
        <f>班线包车!AH8</f>
        <v>346.4243</v>
      </c>
      <c r="AI11" s="36">
        <f t="shared" si="15"/>
        <v>6.0320683670466</v>
      </c>
      <c r="AJ11" s="35">
        <f>班线包车!AJ8</f>
        <v>324.3908</v>
      </c>
      <c r="AK11" s="36">
        <f t="shared" si="16"/>
        <v>6.35603397840294</v>
      </c>
      <c r="AL11" s="35">
        <f>班线包车!AL8</f>
        <v>349.4122</v>
      </c>
      <c r="AM11" s="36">
        <f t="shared" si="17"/>
        <v>5.51611254913955</v>
      </c>
      <c r="AN11" s="35">
        <f>班线包车!AN8</f>
        <v>330.8522</v>
      </c>
      <c r="AO11" s="36">
        <f t="shared" si="18"/>
        <v>0.108624731432125</v>
      </c>
      <c r="AP11" s="35">
        <f>班线包车!AP8</f>
        <v>355.1516</v>
      </c>
      <c r="AQ11" s="36">
        <f t="shared" si="19"/>
        <v>0.161030607394602</v>
      </c>
      <c r="AR11" s="35">
        <f>班线包车!AR8</f>
        <v>354.3792</v>
      </c>
      <c r="AS11" s="36">
        <f t="shared" si="20"/>
        <v>0.179245524743481</v>
      </c>
      <c r="AT11" s="35">
        <f t="shared" si="21"/>
        <v>3852.4091</v>
      </c>
      <c r="AU11" s="36">
        <f t="shared" si="22"/>
        <v>1.86324648603918</v>
      </c>
      <c r="AV11" s="37"/>
      <c r="AW11" s="35">
        <v>37.6839</v>
      </c>
      <c r="AX11" s="36"/>
      <c r="AY11" s="35">
        <v>32.2358</v>
      </c>
      <c r="AZ11" s="36"/>
      <c r="BA11" s="35">
        <v>51.9115</v>
      </c>
      <c r="BB11" s="36"/>
      <c r="BC11" s="35">
        <v>59.0451</v>
      </c>
      <c r="BD11" s="36"/>
      <c r="BE11" s="35">
        <v>58.7769</v>
      </c>
      <c r="BF11" s="36"/>
      <c r="BG11" s="35">
        <v>53.9891</v>
      </c>
      <c r="BH11" s="36"/>
      <c r="BI11" s="35">
        <v>49.2635</v>
      </c>
      <c r="BJ11" s="36"/>
      <c r="BK11" s="35">
        <v>44.0986</v>
      </c>
      <c r="BL11" s="36"/>
      <c r="BM11" s="35">
        <v>53.6228</v>
      </c>
      <c r="BN11" s="36"/>
      <c r="BO11" s="35">
        <v>298.4348</v>
      </c>
      <c r="BP11" s="36"/>
      <c r="BQ11" s="35">
        <v>305.8934</v>
      </c>
      <c r="BR11" s="36"/>
      <c r="BS11" s="35">
        <v>300.5135</v>
      </c>
      <c r="BT11" s="36"/>
      <c r="BU11" s="35">
        <f t="shared" si="23"/>
        <v>1345.4689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7"/>
    </row>
    <row r="12" s="14" customFormat="1" ht="27" customHeight="1" spans="1:88">
      <c r="A12" s="45"/>
      <c r="B12" s="34" t="s">
        <v>295</v>
      </c>
      <c r="C12" s="35">
        <f>公交!C9-公交!C11</f>
        <v>25.6499999999996</v>
      </c>
      <c r="D12" s="36">
        <f t="shared" si="0"/>
        <v>0.287004515805282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29.8899999999994</v>
      </c>
      <c r="H12" s="36">
        <f t="shared" si="2"/>
        <v>0.325498891352567</v>
      </c>
      <c r="I12" s="35">
        <f>公交!I9-公交!I11</f>
        <v>26.3400000000001</v>
      </c>
      <c r="J12" s="36">
        <f t="shared" si="3"/>
        <v>0.198362147406764</v>
      </c>
      <c r="K12" s="35">
        <f>公交!K9-公交!K11</f>
        <v>25.5799999999999</v>
      </c>
      <c r="L12" s="36">
        <f t="shared" si="4"/>
        <v>0.266336633663374</v>
      </c>
      <c r="M12" s="35">
        <f>公交!M9-公交!M11</f>
        <v>23.7700000000004</v>
      </c>
      <c r="N12" s="36">
        <f t="shared" si="5"/>
        <v>-0.0234182415776014</v>
      </c>
      <c r="O12" s="35">
        <f>公交!O9-公交!O11</f>
        <v>20.4099999999999</v>
      </c>
      <c r="P12" s="36">
        <f t="shared" si="6"/>
        <v>-0.129637526652451</v>
      </c>
      <c r="Q12" s="127"/>
      <c r="R12" s="127"/>
      <c r="S12" s="131">
        <f t="shared" si="7"/>
        <v>172.409999999999</v>
      </c>
      <c r="T12" s="132">
        <f t="shared" si="8"/>
        <v>-0.0127691250572505</v>
      </c>
      <c r="U12" s="36"/>
      <c r="V12" s="35">
        <f>公交!V9-公交!V11</f>
        <v>19.9300000000003</v>
      </c>
      <c r="W12" s="36">
        <f t="shared" si="9"/>
        <v>-0.284380610412926</v>
      </c>
      <c r="X12" s="35">
        <f>公交!X9-公交!X11</f>
        <v>18.5499999999993</v>
      </c>
      <c r="Y12" s="36">
        <f t="shared" si="10"/>
        <v>0.0248618784530041</v>
      </c>
      <c r="Z12" s="35">
        <f>公交!Z9-公交!Z11</f>
        <v>22.5499999999993</v>
      </c>
      <c r="AA12" s="36">
        <f t="shared" si="11"/>
        <v>-0.226680384087814</v>
      </c>
      <c r="AB12" s="35">
        <f>公交!AB9-公交!AB11</f>
        <v>21.9799999999996</v>
      </c>
      <c r="AC12" s="36">
        <f t="shared" si="12"/>
        <v>-0.21890547263684</v>
      </c>
      <c r="AD12" s="35">
        <f>公交!AD9-公交!AD11</f>
        <v>20.1999999999998</v>
      </c>
      <c r="AE12" s="36">
        <f t="shared" si="13"/>
        <v>-0.304407713498629</v>
      </c>
      <c r="AF12" s="35">
        <f>公交!AF9-公交!AF11</f>
        <v>24.3399999999992</v>
      </c>
      <c r="AG12" s="36">
        <f t="shared" si="14"/>
        <v>-0.0832391713748003</v>
      </c>
      <c r="AH12" s="35">
        <f>公交!AH9-公交!AH11</f>
        <v>23.4499999999998</v>
      </c>
      <c r="AI12" s="36">
        <f t="shared" si="15"/>
        <v>-0.0966872110939978</v>
      </c>
      <c r="AJ12" s="35">
        <f>公交!AJ9-公交!AJ11</f>
        <v>23.6400000000003</v>
      </c>
      <c r="AK12" s="36">
        <f t="shared" si="16"/>
        <v>0.0159003008165379</v>
      </c>
      <c r="AL12" s="35">
        <f>公交!AL9-公交!AL11</f>
        <v>25.8499999999995</v>
      </c>
      <c r="AM12" s="36">
        <f t="shared" si="17"/>
        <v>0.00897736143636041</v>
      </c>
      <c r="AN12" s="35">
        <f>公交!AN9-公交!AN11</f>
        <v>29.0299999999997</v>
      </c>
      <c r="AO12" s="36">
        <f t="shared" si="18"/>
        <v>0.0419956927494636</v>
      </c>
      <c r="AP12" s="35">
        <f>公交!AP9-公交!AP11</f>
        <v>28.4900000000007</v>
      </c>
      <c r="AQ12" s="36">
        <f t="shared" si="19"/>
        <v>0.135964912280734</v>
      </c>
      <c r="AR12" s="35">
        <f>公交!AR9-公交!AR11</f>
        <v>27.8800000000001</v>
      </c>
      <c r="AS12" s="36">
        <f t="shared" si="20"/>
        <v>0.126919967663716</v>
      </c>
      <c r="AT12" s="35">
        <f t="shared" si="21"/>
        <v>285.889999999998</v>
      </c>
      <c r="AU12" s="36">
        <f t="shared" si="22"/>
        <v>-0.0818319041654687</v>
      </c>
      <c r="AV12" s="37"/>
      <c r="AW12" s="35">
        <v>27.8500000000004</v>
      </c>
      <c r="AX12" s="36"/>
      <c r="AY12" s="35">
        <v>18.0999999999999</v>
      </c>
      <c r="AZ12" s="36"/>
      <c r="BA12" s="35">
        <v>29.1599999999999</v>
      </c>
      <c r="BB12" s="36"/>
      <c r="BC12" s="35">
        <v>28.1400000000003</v>
      </c>
      <c r="BD12" s="36"/>
      <c r="BE12" s="35">
        <v>29.04</v>
      </c>
      <c r="BF12" s="36"/>
      <c r="BG12" s="35">
        <v>26.5500000000002</v>
      </c>
      <c r="BH12" s="36"/>
      <c r="BI12" s="35">
        <v>25.96</v>
      </c>
      <c r="BJ12" s="36"/>
      <c r="BK12" s="35">
        <v>23.2699999999995</v>
      </c>
      <c r="BL12" s="36"/>
      <c r="BM12" s="35">
        <v>25.6199999999999</v>
      </c>
      <c r="BN12" s="36"/>
      <c r="BO12" s="35">
        <v>27.8599999999997</v>
      </c>
      <c r="BP12" s="36"/>
      <c r="BQ12" s="35">
        <v>25.0799999999999</v>
      </c>
      <c r="BR12" s="36"/>
      <c r="BS12" s="35">
        <v>24.7399999999998</v>
      </c>
      <c r="BT12" s="36"/>
      <c r="BU12" s="35">
        <f t="shared" si="23"/>
        <v>311.37</v>
      </c>
      <c r="BV12" s="36"/>
      <c r="BW12" s="40"/>
      <c r="BX12" s="46"/>
      <c r="BY12" s="46"/>
      <c r="BZ12" s="46"/>
      <c r="CA12" s="46"/>
      <c r="CB12" s="46"/>
      <c r="CC12" s="46"/>
      <c r="CD12" s="41"/>
      <c r="CE12" s="46"/>
      <c r="CF12" s="41"/>
      <c r="CG12" s="41"/>
      <c r="CH12" s="41"/>
      <c r="CI12" s="41"/>
      <c r="CJ12" s="47"/>
    </row>
    <row r="13" s="14" customFormat="1" ht="27" customHeight="1" spans="1:88">
      <c r="A13" s="45"/>
      <c r="B13" s="34" t="s">
        <v>296</v>
      </c>
      <c r="C13" s="35">
        <v>0</v>
      </c>
      <c r="D13" s="36" t="e">
        <f t="shared" si="0"/>
        <v>#DIV/0!</v>
      </c>
      <c r="E13" s="35">
        <v>0</v>
      </c>
      <c r="F13" s="36" t="e">
        <f t="shared" si="1"/>
        <v>#DIV/0!</v>
      </c>
      <c r="G13" s="35">
        <v>0</v>
      </c>
      <c r="H13" s="36" t="e">
        <f t="shared" si="2"/>
        <v>#DIV/0!</v>
      </c>
      <c r="I13" s="35">
        <v>0</v>
      </c>
      <c r="J13" s="36" t="e">
        <f t="shared" si="3"/>
        <v>#DIV/0!</v>
      </c>
      <c r="K13" s="35">
        <v>0</v>
      </c>
      <c r="L13" s="36" t="e">
        <f t="shared" si="4"/>
        <v>#DIV/0!</v>
      </c>
      <c r="M13" s="35">
        <v>0</v>
      </c>
      <c r="N13" s="36" t="e">
        <f t="shared" si="5"/>
        <v>#DIV/0!</v>
      </c>
      <c r="O13" s="35">
        <v>0</v>
      </c>
      <c r="P13" s="36" t="e">
        <f t="shared" si="6"/>
        <v>#DIV/0!</v>
      </c>
      <c r="Q13" s="127"/>
      <c r="R13" s="127"/>
      <c r="S13" s="131">
        <f t="shared" si="7"/>
        <v>0</v>
      </c>
      <c r="T13" s="132" t="e">
        <f t="shared" si="8"/>
        <v>#DIV/0!</v>
      </c>
      <c r="U13" s="36"/>
      <c r="V13" s="35">
        <v>0</v>
      </c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f t="shared" si="21"/>
        <v>0</v>
      </c>
      <c r="AU13" s="36" t="e">
        <f t="shared" si="22"/>
        <v>#DIV/0!</v>
      </c>
      <c r="AV13" s="37"/>
      <c r="AW13" s="35">
        <v>0</v>
      </c>
      <c r="AX13" s="36"/>
      <c r="AY13" s="35">
        <v>0</v>
      </c>
      <c r="AZ13" s="36"/>
      <c r="BA13" s="35">
        <v>0</v>
      </c>
      <c r="BB13" s="36"/>
      <c r="BC13" s="35">
        <v>0</v>
      </c>
      <c r="BD13" s="36"/>
      <c r="BE13" s="35">
        <v>0</v>
      </c>
      <c r="BF13" s="36"/>
      <c r="BG13" s="35">
        <v>0</v>
      </c>
      <c r="BH13" s="36"/>
      <c r="BI13" s="35">
        <v>0</v>
      </c>
      <c r="BJ13" s="36"/>
      <c r="BK13" s="35">
        <v>0</v>
      </c>
      <c r="BL13" s="36"/>
      <c r="BM13" s="35">
        <v>0</v>
      </c>
      <c r="BN13" s="36"/>
      <c r="BO13" s="35">
        <v>0</v>
      </c>
      <c r="BP13" s="36"/>
      <c r="BQ13" s="35">
        <v>0</v>
      </c>
      <c r="BR13" s="36"/>
      <c r="BS13" s="35">
        <v>0</v>
      </c>
      <c r="BT13" s="36"/>
      <c r="BU13" s="35">
        <f t="shared" si="23"/>
        <v>0</v>
      </c>
      <c r="BV13" s="36"/>
      <c r="BW13" s="40"/>
      <c r="BX13" s="46"/>
      <c r="BY13" s="46"/>
      <c r="BZ13" s="46"/>
      <c r="CA13" s="46"/>
      <c r="CB13" s="46"/>
      <c r="CC13" s="46"/>
      <c r="CD13" s="41"/>
      <c r="CE13" s="46"/>
      <c r="CF13" s="41"/>
      <c r="CG13" s="41"/>
      <c r="CH13" s="41"/>
      <c r="CI13" s="41"/>
      <c r="CJ13" s="47"/>
    </row>
    <row r="14" s="14" customFormat="1" ht="27" customHeight="1" spans="1:88">
      <c r="A14" s="29"/>
      <c r="B14" s="34" t="s">
        <v>297</v>
      </c>
      <c r="C14" s="35">
        <v>0</v>
      </c>
      <c r="D14" s="36" t="e">
        <f t="shared" si="0"/>
        <v>#DIV/0!</v>
      </c>
      <c r="E14" s="35">
        <v>0</v>
      </c>
      <c r="F14" s="36" t="e">
        <f t="shared" si="1"/>
        <v>#DIV/0!</v>
      </c>
      <c r="G14" s="35">
        <v>0</v>
      </c>
      <c r="H14" s="36" t="e">
        <f t="shared" si="2"/>
        <v>#DIV/0!</v>
      </c>
      <c r="I14" s="35">
        <v>0</v>
      </c>
      <c r="J14" s="36" t="e">
        <f t="shared" si="3"/>
        <v>#DIV/0!</v>
      </c>
      <c r="K14" s="35">
        <v>0</v>
      </c>
      <c r="L14" s="36" t="e">
        <f t="shared" si="4"/>
        <v>#DIV/0!</v>
      </c>
      <c r="M14" s="35">
        <v>0</v>
      </c>
      <c r="N14" s="36" t="e">
        <f t="shared" si="5"/>
        <v>#DIV/0!</v>
      </c>
      <c r="O14" s="35">
        <v>0</v>
      </c>
      <c r="P14" s="36" t="e">
        <f t="shared" si="6"/>
        <v>#DIV/0!</v>
      </c>
      <c r="Q14" s="127"/>
      <c r="R14" s="127"/>
      <c r="S14" s="131">
        <f t="shared" si="7"/>
        <v>0</v>
      </c>
      <c r="T14" s="132" t="e">
        <f t="shared" si="8"/>
        <v>#DIV/0!</v>
      </c>
      <c r="U14" s="36"/>
      <c r="V14" s="35">
        <v>0</v>
      </c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f t="shared" si="21"/>
        <v>0</v>
      </c>
      <c r="AU14" s="36" t="e">
        <f t="shared" si="22"/>
        <v>#DIV/0!</v>
      </c>
      <c r="AV14" s="37"/>
      <c r="AW14" s="35">
        <v>0</v>
      </c>
      <c r="AX14" s="36"/>
      <c r="AY14" s="35">
        <v>0</v>
      </c>
      <c r="AZ14" s="36"/>
      <c r="BA14" s="35">
        <v>0</v>
      </c>
      <c r="BB14" s="36"/>
      <c r="BC14" s="35">
        <v>0</v>
      </c>
      <c r="BD14" s="36"/>
      <c r="BE14" s="35">
        <v>0</v>
      </c>
      <c r="BF14" s="36"/>
      <c r="BG14" s="35">
        <v>0</v>
      </c>
      <c r="BH14" s="36"/>
      <c r="BI14" s="35">
        <v>0</v>
      </c>
      <c r="BJ14" s="36"/>
      <c r="BK14" s="35">
        <v>0</v>
      </c>
      <c r="BL14" s="36"/>
      <c r="BM14" s="35">
        <v>0</v>
      </c>
      <c r="BN14" s="36"/>
      <c r="BO14" s="35">
        <v>0</v>
      </c>
      <c r="BP14" s="36"/>
      <c r="BQ14" s="35">
        <v>0</v>
      </c>
      <c r="BR14" s="36"/>
      <c r="BS14" s="35">
        <v>0</v>
      </c>
      <c r="BT14" s="36"/>
      <c r="BU14" s="35">
        <f t="shared" si="23"/>
        <v>0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13" customFormat="1" ht="27" customHeight="1" spans="1:88">
      <c r="A15" s="48" t="s">
        <v>94</v>
      </c>
      <c r="B15" s="34" t="s">
        <v>293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0.0372078162613709</v>
      </c>
      <c r="G15" s="35">
        <f>G16+G17+G18+G19</f>
        <v>230.297641936121</v>
      </c>
      <c r="H15" s="36">
        <f t="shared" si="2"/>
        <v>0.112559950878393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0.20751089469272</v>
      </c>
      <c r="M15" s="35">
        <f>M16+M17+M18+M19</f>
        <v>253.034824528135</v>
      </c>
      <c r="N15" s="36">
        <f t="shared" si="5"/>
        <v>0.0651008569753124</v>
      </c>
      <c r="O15" s="35">
        <f>O16+O17+O18+O19</f>
        <v>251.185512772618</v>
      </c>
      <c r="P15" s="36">
        <f t="shared" si="6"/>
        <v>0.104001562098662</v>
      </c>
      <c r="Q15" s="127"/>
      <c r="R15" s="127"/>
      <c r="S15" s="131">
        <f t="shared" si="7"/>
        <v>1663.88271805411</v>
      </c>
      <c r="T15" s="132">
        <f t="shared" si="8"/>
        <v>-0.0569263446586248</v>
      </c>
      <c r="U15" s="36"/>
      <c r="V15" s="35">
        <f>V16+V17+V18+V19</f>
        <v>201.449730048038</v>
      </c>
      <c r="W15" s="36">
        <f t="shared" ref="W15:W46" si="25">V15/AW15-1</f>
        <v>0.212074380824945</v>
      </c>
      <c r="X15" s="35">
        <f>X16+X17+X18+X19</f>
        <v>214.071191900456</v>
      </c>
      <c r="Y15" s="36">
        <f t="shared" ref="Y15:Y46" si="26">X15/AY15-1</f>
        <v>0.0270272699491496</v>
      </c>
      <c r="Z15" s="35">
        <f>Z16+Z17+Z18+Z19</f>
        <v>206.997961551911</v>
      </c>
      <c r="AA15" s="36">
        <f t="shared" ref="AA15:AA46" si="27">Z15/BA15-1</f>
        <v>-0.0357161199305469</v>
      </c>
      <c r="AB15" s="35">
        <f>AB16+AB17+AB18+AB19</f>
        <v>223.816841546017</v>
      </c>
      <c r="AC15" s="36">
        <f t="shared" ref="AC15:AC46" si="28">AB15/BC15-1</f>
        <v>-0.0185164912344673</v>
      </c>
      <c r="AD15" s="35">
        <f>AD16+AD17+AD18+AD19</f>
        <v>213.911876644223</v>
      </c>
      <c r="AE15" s="36">
        <f t="shared" ref="AE15:AE46" si="29">AD15/BE15-1</f>
        <v>-0.0620347035616154</v>
      </c>
      <c r="AF15" s="35">
        <f>AF16+AF17+AF18+AF19</f>
        <v>237.568886430818</v>
      </c>
      <c r="AG15" s="36">
        <f t="shared" ref="AG15:AG46" si="30">AF15/BG15-1</f>
        <v>-0.00264346920084768</v>
      </c>
      <c r="AH15" s="35">
        <f>AH16+AH17+AH18+AH19</f>
        <v>227.522787463384</v>
      </c>
      <c r="AI15" s="36">
        <f t="shared" ref="AI15:AI46" si="31">AH15/BI15-1</f>
        <v>-0.090268167646258</v>
      </c>
      <c r="AJ15" s="35">
        <f>AJ16+AJ17+AJ18+AJ19</f>
        <v>238.979670904874</v>
      </c>
      <c r="AK15" s="36">
        <f t="shared" ref="AK15:AK46" si="32">AJ15/BK15-1</f>
        <v>0.219007020524212</v>
      </c>
      <c r="AL15" s="35">
        <f>AL16+AL17+AL18+AL19</f>
        <v>214.193664207899</v>
      </c>
      <c r="AM15" s="36">
        <f t="shared" ref="AM15:AM46" si="33">AL15/BM15-1</f>
        <v>-0.0644211891445857</v>
      </c>
      <c r="AN15" s="35">
        <f>AN16+AN17+AN18+AN19</f>
        <v>232.359760875951</v>
      </c>
      <c r="AO15" s="36">
        <f t="shared" ref="AO15:AO46" si="34">AN15/BO15-1</f>
        <v>0.0732281078625601</v>
      </c>
      <c r="AP15" s="35">
        <f>AP16+AP17+AP18+AP19</f>
        <v>216.709081737897</v>
      </c>
      <c r="AQ15" s="36">
        <f t="shared" ref="AQ15:AQ46" si="35">AP15/BQ15-1</f>
        <v>0.00144760658844256</v>
      </c>
      <c r="AR15" s="35">
        <f>AR16+AR17+AR18+AR19</f>
        <v>225.652334672191</v>
      </c>
      <c r="AS15" s="36">
        <f t="shared" ref="AS15:AS46" si="36">AR15/BS15-1</f>
        <v>0.043355951014854</v>
      </c>
      <c r="AT15" s="35">
        <f t="shared" si="21"/>
        <v>2653.23378798366</v>
      </c>
      <c r="AU15" s="36">
        <f t="shared" si="22"/>
        <v>0.0173969239853653</v>
      </c>
      <c r="AV15" s="37"/>
      <c r="AW15" s="38">
        <f>AW16+AW17+AW18+AW19</f>
        <v>166.202448657425</v>
      </c>
      <c r="AX15" s="37"/>
      <c r="AY15" s="38">
        <f>AY16+AY17+AY18+AY19</f>
        <v>208.437690180374</v>
      </c>
      <c r="AZ15" s="37"/>
      <c r="BA15" s="38">
        <f>BA16+BA17+BA18+BA19</f>
        <v>214.664961045498</v>
      </c>
      <c r="BB15" s="37"/>
      <c r="BC15" s="38">
        <f>BC16+BC17+BC18+BC19</f>
        <v>228.039329797323</v>
      </c>
      <c r="BD15" s="37"/>
      <c r="BE15" s="38">
        <f>BE16+BE17+BE18+BE19</f>
        <v>228.059478806394</v>
      </c>
      <c r="BF15" s="37"/>
      <c r="BG15" s="38">
        <f>BG16+BG17+BG18+BG19</f>
        <v>238.198556979881</v>
      </c>
      <c r="BH15" s="37"/>
      <c r="BI15" s="38">
        <f>BI16+BI17+BI18+BI19</f>
        <v>250.098742697303</v>
      </c>
      <c r="BJ15" s="37"/>
      <c r="BK15" s="38">
        <f>BK16+BK17+BK18+BK19</f>
        <v>196.044540253841</v>
      </c>
      <c r="BL15" s="37"/>
      <c r="BM15" s="38">
        <f>BM16+BM17+BM18+BM19</f>
        <v>228.942406265121</v>
      </c>
      <c r="BN15" s="37"/>
      <c r="BO15" s="38">
        <f>BO16+BO17+BO18+BO19</f>
        <v>216.505474627121</v>
      </c>
      <c r="BP15" s="37"/>
      <c r="BQ15" s="38">
        <f>BQ16+BQ17+BQ18+BQ19</f>
        <v>216.395825714881</v>
      </c>
      <c r="BR15" s="37"/>
      <c r="BS15" s="38">
        <f>BS16+BS17+BS18+BS19</f>
        <v>216.275504493652</v>
      </c>
      <c r="BT15" s="37"/>
      <c r="BU15" s="38">
        <f t="shared" si="23"/>
        <v>2607.86495951881</v>
      </c>
      <c r="BV15" s="37"/>
      <c r="BW15" s="39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</row>
    <row r="16" s="14" customFormat="1" ht="27" customHeight="1" spans="1:88">
      <c r="A16" s="45"/>
      <c r="B16" s="34" t="s">
        <v>294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127"/>
      <c r="R16" s="127"/>
      <c r="S16" s="131">
        <f t="shared" si="7"/>
        <v>539.5207</v>
      </c>
      <c r="T16" s="132">
        <f t="shared" si="8"/>
        <v>-0.261389296018062</v>
      </c>
      <c r="U16" s="36"/>
      <c r="V16" s="35">
        <f>班线包车!V10</f>
        <v>98.0308</v>
      </c>
      <c r="W16" s="36">
        <f t="shared" si="25"/>
        <v>-0.0195665045125776</v>
      </c>
      <c r="X16" s="35">
        <f>班线包车!X10</f>
        <v>96.9201</v>
      </c>
      <c r="Y16" s="36">
        <f t="shared" si="26"/>
        <v>-0.0829836494601701</v>
      </c>
      <c r="Z16" s="35">
        <f>班线包车!Z10</f>
        <v>92.5724</v>
      </c>
      <c r="AA16" s="36">
        <f t="shared" si="27"/>
        <v>-0.020566822865474</v>
      </c>
      <c r="AB16" s="35">
        <f>班线包车!AB10</f>
        <v>92.9372</v>
      </c>
      <c r="AC16" s="36">
        <f t="shared" si="28"/>
        <v>-0.0403708942971903</v>
      </c>
      <c r="AD16" s="35">
        <f>班线包车!AD10</f>
        <v>91.2247</v>
      </c>
      <c r="AE16" s="36">
        <f t="shared" si="29"/>
        <v>-0.0443132127734023</v>
      </c>
      <c r="AF16" s="35">
        <f>班线包车!AF10</f>
        <v>87.0116</v>
      </c>
      <c r="AG16" s="36">
        <f t="shared" si="30"/>
        <v>-0.029643235117325</v>
      </c>
      <c r="AH16" s="35">
        <f>班线包车!AH10</f>
        <v>86.8392</v>
      </c>
      <c r="AI16" s="36">
        <f t="shared" si="31"/>
        <v>-0.0226457013009376</v>
      </c>
      <c r="AJ16" s="35">
        <f>班线包车!AJ10</f>
        <v>84.9174</v>
      </c>
      <c r="AK16" s="36">
        <f t="shared" si="32"/>
        <v>-0.0143533672261299</v>
      </c>
      <c r="AL16" s="35">
        <f>班线包车!AL10</f>
        <v>84.3078</v>
      </c>
      <c r="AM16" s="36">
        <f t="shared" si="33"/>
        <v>-0.0112818371803383</v>
      </c>
      <c r="AN16" s="35">
        <f>班线包车!AN10</f>
        <v>84.4888</v>
      </c>
      <c r="AO16" s="36">
        <f t="shared" si="34"/>
        <v>-0.0417185568296529</v>
      </c>
      <c r="AP16" s="35">
        <f>班线包车!AP10</f>
        <v>82.6305</v>
      </c>
      <c r="AQ16" s="36">
        <f t="shared" si="35"/>
        <v>-0.0400954903464138</v>
      </c>
      <c r="AR16" s="35">
        <f>班线包车!AR10</f>
        <v>77.1923</v>
      </c>
      <c r="AS16" s="36">
        <f t="shared" si="36"/>
        <v>-0.0934391093207748</v>
      </c>
      <c r="AT16" s="35">
        <f t="shared" si="21"/>
        <v>1059.0728</v>
      </c>
      <c r="AU16" s="36">
        <f t="shared" si="22"/>
        <v>-0.0388126894504738</v>
      </c>
      <c r="AV16" s="37"/>
      <c r="AW16" s="35">
        <v>99.9872</v>
      </c>
      <c r="AX16" s="36"/>
      <c r="AY16" s="35">
        <v>105.6907</v>
      </c>
      <c r="AZ16" s="36"/>
      <c r="BA16" s="35">
        <v>94.5163</v>
      </c>
      <c r="BB16" s="36"/>
      <c r="BC16" s="35">
        <v>96.847</v>
      </c>
      <c r="BD16" s="36"/>
      <c r="BE16" s="35">
        <v>95.4546</v>
      </c>
      <c r="BF16" s="36"/>
      <c r="BG16" s="35">
        <v>89.6697</v>
      </c>
      <c r="BH16" s="36"/>
      <c r="BI16" s="35">
        <v>88.8513</v>
      </c>
      <c r="BJ16" s="36"/>
      <c r="BK16" s="35">
        <v>86.154</v>
      </c>
      <c r="BL16" s="36"/>
      <c r="BM16" s="35">
        <v>85.2698</v>
      </c>
      <c r="BN16" s="36"/>
      <c r="BO16" s="35">
        <v>88.167</v>
      </c>
      <c r="BP16" s="36"/>
      <c r="BQ16" s="35">
        <v>86.082</v>
      </c>
      <c r="BR16" s="36"/>
      <c r="BS16" s="35">
        <v>85.1485</v>
      </c>
      <c r="BT16" s="36"/>
      <c r="BU16" s="35">
        <f t="shared" si="23"/>
        <v>1101.8381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14" customFormat="1" ht="27" customHeight="1" spans="1:88">
      <c r="A17" s="45"/>
      <c r="B17" s="34" t="s">
        <v>295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0.193483412322276</v>
      </c>
      <c r="G17" s="35">
        <f>公交!G13-公交!G15</f>
        <v>111.8</v>
      </c>
      <c r="H17" s="36">
        <f t="shared" si="2"/>
        <v>0.290993071593536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0.62528735632184</v>
      </c>
      <c r="M17" s="35">
        <f>公交!M13-公交!M15</f>
        <v>135.9</v>
      </c>
      <c r="N17" s="36">
        <f t="shared" si="5"/>
        <v>0.120362737015663</v>
      </c>
      <c r="O17" s="35">
        <f>公交!O13-公交!O15</f>
        <v>135.3</v>
      </c>
      <c r="P17" s="36">
        <f t="shared" si="6"/>
        <v>0.331692913385827</v>
      </c>
      <c r="Q17" s="127"/>
      <c r="R17" s="127"/>
      <c r="S17" s="131">
        <f t="shared" si="7"/>
        <v>841.58</v>
      </c>
      <c r="T17" s="132">
        <f t="shared" si="8"/>
        <v>0.105741689659704</v>
      </c>
      <c r="U17" s="36"/>
      <c r="V17" s="35">
        <f>公交!V13-公交!V15</f>
        <v>83.5</v>
      </c>
      <c r="W17" s="36">
        <f t="shared" si="25"/>
        <v>0.646942800788955</v>
      </c>
      <c r="X17" s="35">
        <f>公交!X13-公交!X15</f>
        <v>84.4</v>
      </c>
      <c r="Y17" s="36">
        <f t="shared" si="26"/>
        <v>-0.0105509964830014</v>
      </c>
      <c r="Z17" s="35">
        <f>公交!Z13-公交!Z15</f>
        <v>86.5999999999999</v>
      </c>
      <c r="AA17" s="36">
        <f t="shared" si="27"/>
        <v>-0.0746874666096805</v>
      </c>
      <c r="AB17" s="35">
        <f>公交!AB13-公交!AB15</f>
        <v>94.3</v>
      </c>
      <c r="AC17" s="36">
        <f t="shared" si="28"/>
        <v>-0.0459328207203556</v>
      </c>
      <c r="AD17" s="35">
        <f>公交!AD13-公交!AD15</f>
        <v>87</v>
      </c>
      <c r="AE17" s="36">
        <f t="shared" si="29"/>
        <v>-0.147393179145433</v>
      </c>
      <c r="AF17" s="35">
        <f>公交!AF13-公交!AF15</f>
        <v>121.3</v>
      </c>
      <c r="AG17" s="36">
        <f t="shared" si="30"/>
        <v>0.259867054424593</v>
      </c>
      <c r="AH17" s="35">
        <f>公交!AH13-公交!AH15</f>
        <v>101.6</v>
      </c>
      <c r="AI17" s="36">
        <f t="shared" si="31"/>
        <v>0.0774125132555676</v>
      </c>
      <c r="AJ17" s="35">
        <f>公交!AJ13-公交!AJ15</f>
        <v>102.4</v>
      </c>
      <c r="AK17" s="36">
        <f t="shared" si="32"/>
        <v>0.193473193473192</v>
      </c>
      <c r="AL17" s="35">
        <f>公交!AL13-公交!AL15</f>
        <v>92.6</v>
      </c>
      <c r="AM17" s="36">
        <f t="shared" si="33"/>
        <v>0.0792540792540783</v>
      </c>
      <c r="AN17" s="35">
        <f>公交!AN13-公交!AN15</f>
        <v>109.5</v>
      </c>
      <c r="AO17" s="36">
        <f t="shared" si="34"/>
        <v>0.157505285412263</v>
      </c>
      <c r="AP17" s="35">
        <f>公交!AP13-公交!AP15</f>
        <v>101.1</v>
      </c>
      <c r="AQ17" s="36">
        <f t="shared" si="35"/>
        <v>0.120842572062083</v>
      </c>
      <c r="AR17" s="35">
        <f>公交!AR13-公交!AR15</f>
        <v>114.2</v>
      </c>
      <c r="AS17" s="36">
        <f t="shared" si="36"/>
        <v>0.327906976744187</v>
      </c>
      <c r="AT17" s="35">
        <f t="shared" si="21"/>
        <v>1178.5</v>
      </c>
      <c r="AU17" s="36">
        <f t="shared" si="22"/>
        <v>0.108185622267149</v>
      </c>
      <c r="AV17" s="37"/>
      <c r="AW17" s="35">
        <v>50.7</v>
      </c>
      <c r="AX17" s="36"/>
      <c r="AY17" s="35">
        <v>85.3</v>
      </c>
      <c r="AZ17" s="36"/>
      <c r="BA17" s="35">
        <v>93.5899999999999</v>
      </c>
      <c r="BB17" s="36"/>
      <c r="BC17" s="35">
        <v>98.8399999999999</v>
      </c>
      <c r="BD17" s="36"/>
      <c r="BE17" s="35">
        <v>102.04</v>
      </c>
      <c r="BF17" s="36"/>
      <c r="BG17" s="35">
        <v>96.2800000000002</v>
      </c>
      <c r="BH17" s="36"/>
      <c r="BI17" s="35">
        <v>94.3</v>
      </c>
      <c r="BJ17" s="36"/>
      <c r="BK17" s="35">
        <v>85.8000000000001</v>
      </c>
      <c r="BL17" s="36"/>
      <c r="BM17" s="35">
        <v>85.8000000000001</v>
      </c>
      <c r="BN17" s="36"/>
      <c r="BO17" s="35">
        <v>94.5999999999999</v>
      </c>
      <c r="BP17" s="36"/>
      <c r="BQ17" s="35">
        <v>90.2</v>
      </c>
      <c r="BR17" s="36"/>
      <c r="BS17" s="35">
        <v>86</v>
      </c>
      <c r="BT17" s="36"/>
      <c r="BU17" s="35">
        <f t="shared" si="23"/>
        <v>1063.45</v>
      </c>
      <c r="BV17" s="36"/>
      <c r="BW17" s="40"/>
      <c r="BX17" s="46"/>
      <c r="BY17" s="46"/>
      <c r="BZ17" s="46"/>
      <c r="CA17" s="46"/>
      <c r="CB17" s="46"/>
      <c r="CC17" s="46"/>
      <c r="CD17" s="41"/>
      <c r="CE17" s="46"/>
      <c r="CF17" s="41"/>
      <c r="CG17" s="41"/>
      <c r="CH17" s="41"/>
      <c r="CI17" s="41"/>
      <c r="CJ17" s="47"/>
    </row>
    <row r="18" s="14" customFormat="1" ht="27" customHeight="1" spans="1:88">
      <c r="A18" s="45"/>
      <c r="B18" s="34" t="s">
        <v>296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127"/>
      <c r="R18" s="127"/>
      <c r="S18" s="131">
        <f t="shared" si="7"/>
        <v>176.87</v>
      </c>
      <c r="T18" s="132">
        <f t="shared" si="8"/>
        <v>-0.0534118276692541</v>
      </c>
      <c r="U18" s="36"/>
      <c r="V18" s="35">
        <f>出租!V13-出租!V15</f>
        <v>16.17</v>
      </c>
      <c r="W18" s="36">
        <f t="shared" si="25"/>
        <v>1.01119402985074</v>
      </c>
      <c r="X18" s="35">
        <f>出租!X13-出租!X15</f>
        <v>26.68</v>
      </c>
      <c r="Y18" s="36">
        <f t="shared" si="26"/>
        <v>1.120826709062</v>
      </c>
      <c r="Z18" s="35">
        <f>出租!Z13-出租!Z15</f>
        <v>19.62</v>
      </c>
      <c r="AA18" s="36">
        <f t="shared" si="27"/>
        <v>0.0833793484262841</v>
      </c>
      <c r="AB18" s="35">
        <f>出租!AB13-出租!AB15</f>
        <v>26.18</v>
      </c>
      <c r="AC18" s="36">
        <f t="shared" si="28"/>
        <v>0.181407942238268</v>
      </c>
      <c r="AD18" s="35">
        <f>出租!AD13-出租!AD15</f>
        <v>22.84</v>
      </c>
      <c r="AE18" s="36">
        <f t="shared" si="29"/>
        <v>0.165306122448981</v>
      </c>
      <c r="AF18" s="35">
        <f>出租!AF13-出租!AF15</f>
        <v>18.5</v>
      </c>
      <c r="AG18" s="36">
        <f t="shared" si="30"/>
        <v>-0.483816964285714</v>
      </c>
      <c r="AH18" s="35">
        <f>出租!AH13-出租!AH15</f>
        <v>24.13</v>
      </c>
      <c r="AI18" s="36">
        <f t="shared" si="31"/>
        <v>-0.454072398190045</v>
      </c>
      <c r="AJ18" s="35">
        <f>出租!AJ13-出租!AJ15</f>
        <v>32.73</v>
      </c>
      <c r="AK18" s="36">
        <f t="shared" si="32"/>
        <v>1.13363754889179</v>
      </c>
      <c r="AL18" s="35">
        <f>出租!AL13-出租!AL15</f>
        <v>22.3</v>
      </c>
      <c r="AM18" s="36">
        <f t="shared" si="33"/>
        <v>-0.392204960479696</v>
      </c>
      <c r="AN18" s="35">
        <f>出租!AN13-出租!AN15</f>
        <v>22.42</v>
      </c>
      <c r="AO18" s="36">
        <f t="shared" si="34"/>
        <v>0.109351806036616</v>
      </c>
      <c r="AP18" s="35">
        <f>出租!AP13-出租!AP15</f>
        <v>21.35</v>
      </c>
      <c r="AQ18" s="36">
        <f t="shared" si="35"/>
        <v>-0.131760878405855</v>
      </c>
      <c r="AR18" s="35">
        <f>出租!AR13-出租!AR15</f>
        <v>22.5</v>
      </c>
      <c r="AS18" s="36">
        <f t="shared" si="36"/>
        <v>-0.197002141327623</v>
      </c>
      <c r="AT18" s="35">
        <f t="shared" si="21"/>
        <v>275.42</v>
      </c>
      <c r="AU18" s="36">
        <f t="shared" si="22"/>
        <v>-0.0349008339757514</v>
      </c>
      <c r="AV18" s="37"/>
      <c r="AW18" s="35">
        <v>8.04000000000002</v>
      </c>
      <c r="AX18" s="36"/>
      <c r="AY18" s="35">
        <v>12.58</v>
      </c>
      <c r="AZ18" s="36"/>
      <c r="BA18" s="35">
        <v>18.11</v>
      </c>
      <c r="BB18" s="36"/>
      <c r="BC18" s="35">
        <v>22.16</v>
      </c>
      <c r="BD18" s="36"/>
      <c r="BE18" s="35">
        <v>19.6</v>
      </c>
      <c r="BF18" s="36"/>
      <c r="BG18" s="35">
        <v>35.84</v>
      </c>
      <c r="BH18" s="36"/>
      <c r="BI18" s="35">
        <v>44.2</v>
      </c>
      <c r="BJ18" s="36"/>
      <c r="BK18" s="35">
        <v>15.34</v>
      </c>
      <c r="BL18" s="36"/>
      <c r="BM18" s="35">
        <v>36.69</v>
      </c>
      <c r="BN18" s="36"/>
      <c r="BO18" s="35">
        <v>20.21</v>
      </c>
      <c r="BP18" s="36"/>
      <c r="BQ18" s="35">
        <v>24.59</v>
      </c>
      <c r="BR18" s="36"/>
      <c r="BS18" s="35">
        <v>28.02</v>
      </c>
      <c r="BT18" s="36"/>
      <c r="BU18" s="35">
        <f t="shared" si="23"/>
        <v>285.38</v>
      </c>
      <c r="BV18" s="36"/>
      <c r="BW18" s="40"/>
      <c r="BX18" s="46"/>
      <c r="BY18" s="46"/>
      <c r="BZ18" s="46"/>
      <c r="CA18" s="46"/>
      <c r="CB18" s="46"/>
      <c r="CC18" s="46"/>
      <c r="CD18" s="41"/>
      <c r="CE18" s="46"/>
      <c r="CF18" s="41"/>
      <c r="CG18" s="41"/>
      <c r="CH18" s="41"/>
      <c r="CI18" s="41"/>
      <c r="CJ18" s="47"/>
    </row>
    <row r="19" s="14" customFormat="1" ht="27" customHeight="1" spans="1:88">
      <c r="A19" s="29"/>
      <c r="B19" s="34" t="s">
        <v>297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127"/>
      <c r="R19" s="127"/>
      <c r="S19" s="131">
        <f t="shared" si="7"/>
        <v>105.912018054105</v>
      </c>
      <c r="T19" s="132">
        <f t="shared" si="8"/>
        <v>0.232745671550567</v>
      </c>
      <c r="U19" s="36"/>
      <c r="V19" s="35">
        <f>网约车!V13-网约车!V15</f>
        <v>3.7489300480378</v>
      </c>
      <c r="W19" s="36">
        <f t="shared" si="25"/>
        <v>-0.498487579498217</v>
      </c>
      <c r="X19" s="35">
        <f>网约车!X13-网约车!X15</f>
        <v>6.07109190045639</v>
      </c>
      <c r="Y19" s="36">
        <f t="shared" si="26"/>
        <v>0.247401715527944</v>
      </c>
      <c r="Z19" s="35">
        <f>网约车!Z13-网约车!Z15</f>
        <v>8.2055615519109</v>
      </c>
      <c r="AA19" s="36">
        <f t="shared" si="27"/>
        <v>-0.0287737302133469</v>
      </c>
      <c r="AB19" s="35">
        <f>网约车!AB13-网约车!AB15</f>
        <v>10.399641546017</v>
      </c>
      <c r="AC19" s="36">
        <f t="shared" si="28"/>
        <v>0.0203399765133625</v>
      </c>
      <c r="AD19" s="35">
        <f>网约车!AD13-网约车!AD15</f>
        <v>12.8471766442227</v>
      </c>
      <c r="AE19" s="36">
        <f t="shared" si="29"/>
        <v>0.17166608688198</v>
      </c>
      <c r="AF19" s="35">
        <f>网约车!AF13-网约车!AF15</f>
        <v>10.757286430818</v>
      </c>
      <c r="AG19" s="36">
        <f t="shared" si="30"/>
        <v>-0.344421951875874</v>
      </c>
      <c r="AH19" s="35">
        <f>网约车!AH13-网约车!AH15</f>
        <v>14.9535874633843</v>
      </c>
      <c r="AI19" s="36">
        <f t="shared" si="31"/>
        <v>-0.342625557414532</v>
      </c>
      <c r="AJ19" s="35">
        <f>网约车!AJ13-网约车!AJ15</f>
        <v>18.932270904874</v>
      </c>
      <c r="AK19" s="36">
        <f t="shared" si="32"/>
        <v>1.16355451842685</v>
      </c>
      <c r="AL19" s="35">
        <f>网约车!AL13-网约车!AL15</f>
        <v>14.985864207899</v>
      </c>
      <c r="AM19" s="36">
        <f t="shared" si="33"/>
        <v>-0.292539170093783</v>
      </c>
      <c r="AN19" s="35">
        <f>网约车!AN13-网约车!AN15</f>
        <v>15.950960875951</v>
      </c>
      <c r="AO19" s="36">
        <f t="shared" si="34"/>
        <v>0.179065734726144</v>
      </c>
      <c r="AP19" s="35">
        <f>网约车!AP13-网约车!AP15</f>
        <v>11.628581737897</v>
      </c>
      <c r="AQ19" s="36">
        <f t="shared" si="35"/>
        <v>-0.250920362578521</v>
      </c>
      <c r="AR19" s="35">
        <f>网约车!AR13-网约车!AR15</f>
        <v>11.7600346721914</v>
      </c>
      <c r="AS19" s="36">
        <f t="shared" si="36"/>
        <v>-0.312560262870369</v>
      </c>
      <c r="AT19" s="35">
        <f t="shared" si="21"/>
        <v>140.24098798366</v>
      </c>
      <c r="AU19" s="36">
        <f t="shared" si="22"/>
        <v>-0.107863933077647</v>
      </c>
      <c r="AV19" s="37"/>
      <c r="AW19" s="35">
        <v>7.47524865742477</v>
      </c>
      <c r="AX19" s="36"/>
      <c r="AY19" s="35">
        <v>4.86699018037417</v>
      </c>
      <c r="AZ19" s="36"/>
      <c r="BA19" s="35">
        <v>8.44866104549808</v>
      </c>
      <c r="BB19" s="36"/>
      <c r="BC19" s="35">
        <v>10.192329797323</v>
      </c>
      <c r="BD19" s="36"/>
      <c r="BE19" s="35">
        <v>10.9648788063939</v>
      </c>
      <c r="BF19" s="36"/>
      <c r="BG19" s="35">
        <v>16.4088569798805</v>
      </c>
      <c r="BH19" s="36"/>
      <c r="BI19" s="35">
        <v>22.7474426973028</v>
      </c>
      <c r="BJ19" s="36"/>
      <c r="BK19" s="35">
        <v>8.75054025384114</v>
      </c>
      <c r="BL19" s="36"/>
      <c r="BM19" s="35">
        <v>21.1826062651208</v>
      </c>
      <c r="BN19" s="36"/>
      <c r="BO19" s="35">
        <v>13.5284746271215</v>
      </c>
      <c r="BP19" s="36"/>
      <c r="BQ19" s="35">
        <v>15.5238257148806</v>
      </c>
      <c r="BR19" s="36"/>
      <c r="BS19" s="35">
        <v>17.1070044936518</v>
      </c>
      <c r="BT19" s="36"/>
      <c r="BU19" s="35">
        <f t="shared" si="23"/>
        <v>157.196859518813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7"/>
    </row>
    <row r="20" s="13" customFormat="1" ht="27" customHeight="1" spans="1:88">
      <c r="A20" s="48" t="s">
        <v>95</v>
      </c>
      <c r="B20" s="34" t="s">
        <v>293</v>
      </c>
      <c r="C20" s="35">
        <f>C21+C22+C23+C24</f>
        <v>173.23414292578</v>
      </c>
      <c r="D20" s="36">
        <f t="shared" si="0"/>
        <v>-0.0432609982206525</v>
      </c>
      <c r="E20" s="35">
        <f>E21+E22+E23+E24</f>
        <v>186.934657911457</v>
      </c>
      <c r="F20" s="36">
        <f t="shared" si="1"/>
        <v>-0.0314145937562862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0.0259715639659908</v>
      </c>
      <c r="K20" s="35">
        <f>K21+K22+K23+K24</f>
        <v>201.411289247919</v>
      </c>
      <c r="L20" s="36">
        <f t="shared" si="4"/>
        <v>0.0256221111681192</v>
      </c>
      <c r="M20" s="35">
        <f>M21+M22+M23+M24</f>
        <v>199.090379689721</v>
      </c>
      <c r="N20" s="36">
        <f t="shared" si="5"/>
        <v>0.0201435390766977</v>
      </c>
      <c r="O20" s="35">
        <f>O21+O22+O23+O24</f>
        <v>191.620753146307</v>
      </c>
      <c r="P20" s="36">
        <f t="shared" si="6"/>
        <v>0.0819330581203297</v>
      </c>
      <c r="Q20" s="127"/>
      <c r="R20" s="127"/>
      <c r="S20" s="131">
        <f t="shared" si="7"/>
        <v>1345.78232998595</v>
      </c>
      <c r="T20" s="132">
        <f t="shared" si="8"/>
        <v>-0.110784980380678</v>
      </c>
      <c r="U20" s="36"/>
      <c r="V20" s="35">
        <f>V21+V22+V23+V24</f>
        <v>181.067294845928</v>
      </c>
      <c r="W20" s="36">
        <f t="shared" si="25"/>
        <v>-0.00560192270470028</v>
      </c>
      <c r="X20" s="35">
        <f>X21+X22+X23+X24</f>
        <v>192.997599082575</v>
      </c>
      <c r="Y20" s="36">
        <f t="shared" si="26"/>
        <v>0.0604301250243231</v>
      </c>
      <c r="Z20" s="35">
        <f>Z21+Z22+Z23+Z24</f>
        <v>183.998451615424</v>
      </c>
      <c r="AA20" s="36">
        <f t="shared" si="27"/>
        <v>-0.0123971776133175</v>
      </c>
      <c r="AB20" s="35">
        <f>AB21+AB22+AB23+AB24</f>
        <v>199.347676257536</v>
      </c>
      <c r="AC20" s="36">
        <f t="shared" si="28"/>
        <v>-0.0543811267370423</v>
      </c>
      <c r="AD20" s="35">
        <f>AD21+AD22+AD23+AD24</f>
        <v>196.379628573456</v>
      </c>
      <c r="AE20" s="36">
        <f t="shared" si="29"/>
        <v>-0.0102122782626261</v>
      </c>
      <c r="AF20" s="35">
        <f>AF21+AF22+AF23+AF24</f>
        <v>195.159183059584</v>
      </c>
      <c r="AG20" s="36">
        <f t="shared" si="30"/>
        <v>0.163782637825061</v>
      </c>
      <c r="AH20" s="35">
        <f>AH21+AH22+AH23+AH24</f>
        <v>177.109620330129</v>
      </c>
      <c r="AI20" s="36">
        <f t="shared" si="31"/>
        <v>-0.0603566699706016</v>
      </c>
      <c r="AJ20" s="35">
        <f>AJ21+AJ22+AJ23+AJ24</f>
        <v>187.390387154702</v>
      </c>
      <c r="AK20" s="36">
        <f t="shared" si="32"/>
        <v>-0.00279213175392934</v>
      </c>
      <c r="AL20" s="35">
        <f>AL21+AL22+AL23+AL24</f>
        <v>186.770232421292</v>
      </c>
      <c r="AM20" s="36">
        <f t="shared" si="33"/>
        <v>-0.0142103631139734</v>
      </c>
      <c r="AN20" s="35">
        <f>AN21+AN22+AN23+AN24</f>
        <v>188.886559282417</v>
      </c>
      <c r="AO20" s="36">
        <f t="shared" si="34"/>
        <v>-0.0802705565964755</v>
      </c>
      <c r="AP20" s="35">
        <f>AP21+AP22+AP23+AP24</f>
        <v>175.246740808832</v>
      </c>
      <c r="AQ20" s="36">
        <f t="shared" si="35"/>
        <v>-0.0339201356908871</v>
      </c>
      <c r="AR20" s="35">
        <f>AR21+AR22+AR23+AR24</f>
        <v>168.731194137482</v>
      </c>
      <c r="AS20" s="36">
        <f t="shared" si="36"/>
        <v>-0.0503397878141242</v>
      </c>
      <c r="AT20" s="35">
        <f t="shared" si="21"/>
        <v>2233.08456756936</v>
      </c>
      <c r="AU20" s="36">
        <f t="shared" si="22"/>
        <v>-0.0108665357887555</v>
      </c>
      <c r="AV20" s="37"/>
      <c r="AW20" s="38">
        <f>AW21+AW22+AW23+AW24</f>
        <v>182.087334016594</v>
      </c>
      <c r="AX20" s="37"/>
      <c r="AY20" s="38">
        <f>AY21+AY22+AY23+AY24</f>
        <v>181.999355288165</v>
      </c>
      <c r="AZ20" s="37"/>
      <c r="BA20" s="38">
        <f>BA21+BA22+BA23+BA24</f>
        <v>186.308146802138</v>
      </c>
      <c r="BB20" s="37"/>
      <c r="BC20" s="38">
        <f>BC21+BC22+BC23+BC24</f>
        <v>210.811862891088</v>
      </c>
      <c r="BD20" s="37"/>
      <c r="BE20" s="38">
        <f>BE21+BE22+BE23+BE24</f>
        <v>198.405803851306</v>
      </c>
      <c r="BF20" s="37"/>
      <c r="BG20" s="38">
        <f>BG21+BG22+BG23+BG24</f>
        <v>167.693843091102</v>
      </c>
      <c r="BH20" s="37"/>
      <c r="BI20" s="38">
        <f>BI21+BI22+BI23+BI24</f>
        <v>188.486008116067</v>
      </c>
      <c r="BJ20" s="37"/>
      <c r="BK20" s="38">
        <f>BK21+BK22+BK23+BK24</f>
        <v>187.915070790899</v>
      </c>
      <c r="BL20" s="37"/>
      <c r="BM20" s="38">
        <f>BM21+BM22+BM23+BM24</f>
        <v>189.462564255873</v>
      </c>
      <c r="BN20" s="37"/>
      <c r="BO20" s="38">
        <f>BO21+BO22+BO23+BO24</f>
        <v>205.371873910472</v>
      </c>
      <c r="BP20" s="37"/>
      <c r="BQ20" s="38">
        <f>BQ21+BQ22+BQ23+BQ24</f>
        <v>181.399848276683</v>
      </c>
      <c r="BR20" s="37"/>
      <c r="BS20" s="38">
        <f>BS21+BS22+BS23+BS24</f>
        <v>177.67533268463</v>
      </c>
      <c r="BT20" s="37"/>
      <c r="BU20" s="38">
        <f t="shared" si="23"/>
        <v>2257.61704397502</v>
      </c>
      <c r="BV20" s="37"/>
      <c r="BW20" s="39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</row>
    <row r="21" s="14" customFormat="1" ht="27" customHeight="1" spans="1:88">
      <c r="A21" s="45"/>
      <c r="B21" s="34" t="s">
        <v>294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0.0425582226241907</v>
      </c>
      <c r="I21" s="35">
        <f>班线包车!I14</f>
        <v>68.256</v>
      </c>
      <c r="J21" s="36">
        <f t="shared" si="3"/>
        <v>0.0571066166734036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127"/>
      <c r="R21" s="127"/>
      <c r="S21" s="131">
        <f t="shared" si="7"/>
        <v>420.0246</v>
      </c>
      <c r="T21" s="132">
        <f t="shared" si="8"/>
        <v>-0.128522714658738</v>
      </c>
      <c r="U21" s="36"/>
      <c r="V21" s="35">
        <f>班线包车!V14</f>
        <v>51.1957</v>
      </c>
      <c r="W21" s="36">
        <f t="shared" si="25"/>
        <v>0.0203407666352433</v>
      </c>
      <c r="X21" s="35">
        <f>班线包车!X14</f>
        <v>70.2152</v>
      </c>
      <c r="Y21" s="36">
        <f t="shared" si="26"/>
        <v>0.0474487017878853</v>
      </c>
      <c r="Z21" s="35">
        <f>班线包车!Z14</f>
        <v>57.9371</v>
      </c>
      <c r="AA21" s="36">
        <f t="shared" si="27"/>
        <v>0.0215336819722194</v>
      </c>
      <c r="AB21" s="35">
        <f>班线包车!AB14</f>
        <v>64.5687</v>
      </c>
      <c r="AC21" s="36">
        <f t="shared" si="28"/>
        <v>0.00209828738156403</v>
      </c>
      <c r="AD21" s="35">
        <f>班线包车!AD14</f>
        <v>63.9781</v>
      </c>
      <c r="AE21" s="36">
        <f t="shared" si="29"/>
        <v>0.031450667689872</v>
      </c>
      <c r="AF21" s="35">
        <f>班线包车!AF14</f>
        <v>61.3862</v>
      </c>
      <c r="AG21" s="36">
        <f t="shared" si="30"/>
        <v>0.0449568645608494</v>
      </c>
      <c r="AH21" s="35">
        <f>班线包车!AH14</f>
        <v>52.2756</v>
      </c>
      <c r="AI21" s="36">
        <f t="shared" si="31"/>
        <v>-0.0667954364098234</v>
      </c>
      <c r="AJ21" s="35">
        <f>班线包车!AJ14</f>
        <v>60.4119</v>
      </c>
      <c r="AK21" s="36">
        <f t="shared" si="32"/>
        <v>-0.0114851310178715</v>
      </c>
      <c r="AL21" s="35">
        <f>班线包车!AL14</f>
        <v>52.0508</v>
      </c>
      <c r="AM21" s="36">
        <f t="shared" si="33"/>
        <v>-0.0505542452615084</v>
      </c>
      <c r="AN21" s="35">
        <f>班线包车!AN14</f>
        <v>57.7711</v>
      </c>
      <c r="AO21" s="36">
        <f t="shared" si="34"/>
        <v>-0.163188831528509</v>
      </c>
      <c r="AP21" s="35">
        <f>班线包车!AP14</f>
        <v>49.1361</v>
      </c>
      <c r="AQ21" s="36">
        <f t="shared" si="35"/>
        <v>-0.0503615058588881</v>
      </c>
      <c r="AR21" s="35">
        <f>班线包车!AR14</f>
        <v>41.2319</v>
      </c>
      <c r="AS21" s="36">
        <f t="shared" si="36"/>
        <v>-0.125920571188719</v>
      </c>
      <c r="AT21" s="35">
        <f t="shared" si="21"/>
        <v>682.1584</v>
      </c>
      <c r="AU21" s="36">
        <f t="shared" si="22"/>
        <v>-0.0241436882265097</v>
      </c>
      <c r="AV21" s="37"/>
      <c r="AW21" s="35">
        <v>50.1751</v>
      </c>
      <c r="AX21" s="36"/>
      <c r="AY21" s="35">
        <v>67.0345</v>
      </c>
      <c r="AZ21" s="36"/>
      <c r="BA21" s="35">
        <v>56.7158</v>
      </c>
      <c r="BB21" s="36"/>
      <c r="BC21" s="35">
        <v>64.4335</v>
      </c>
      <c r="BD21" s="36"/>
      <c r="BE21" s="35">
        <v>62.0273</v>
      </c>
      <c r="BF21" s="36"/>
      <c r="BG21" s="35">
        <v>58.7452</v>
      </c>
      <c r="BH21" s="36"/>
      <c r="BI21" s="35">
        <v>56.0173</v>
      </c>
      <c r="BJ21" s="36"/>
      <c r="BK21" s="35">
        <v>61.1138</v>
      </c>
      <c r="BL21" s="36"/>
      <c r="BM21" s="35">
        <v>54.8223</v>
      </c>
      <c r="BN21" s="36"/>
      <c r="BO21" s="35">
        <v>69.0372</v>
      </c>
      <c r="BP21" s="36"/>
      <c r="BQ21" s="35">
        <v>51.7419</v>
      </c>
      <c r="BR21" s="36"/>
      <c r="BS21" s="35">
        <v>47.1718</v>
      </c>
      <c r="BT21" s="36"/>
      <c r="BU21" s="35">
        <f t="shared" si="23"/>
        <v>699.0357</v>
      </c>
      <c r="BV21" s="36"/>
      <c r="BW21" s="40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7"/>
    </row>
    <row r="22" s="14" customFormat="1" ht="27" customHeight="1" spans="1:88">
      <c r="A22" s="45"/>
      <c r="B22" s="34" t="s">
        <v>295</v>
      </c>
      <c r="C22" s="35">
        <f>公交!C17-公交!C19</f>
        <v>115.25</v>
      </c>
      <c r="D22" s="36">
        <f t="shared" si="0"/>
        <v>-0.0185642510431752</v>
      </c>
      <c r="E22" s="35">
        <f>公交!E17-公交!E19</f>
        <v>111.24</v>
      </c>
      <c r="F22" s="36">
        <f t="shared" si="1"/>
        <v>0.0168190127970762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0.0253462022660529</v>
      </c>
      <c r="K22" s="35">
        <f>公交!K17-公交!K19</f>
        <v>119.16</v>
      </c>
      <c r="L22" s="36">
        <f t="shared" si="4"/>
        <v>0.00193391070377547</v>
      </c>
      <c r="M22" s="35">
        <f>公交!M17-公交!M19</f>
        <v>124.86</v>
      </c>
      <c r="N22" s="36">
        <f t="shared" si="5"/>
        <v>0.0211826286088177</v>
      </c>
      <c r="O22" s="35">
        <f>公交!O17-公交!O19</f>
        <v>113.55</v>
      </c>
      <c r="P22" s="36">
        <f t="shared" si="6"/>
        <v>0.0320850754408286</v>
      </c>
      <c r="Q22" s="127"/>
      <c r="R22" s="127"/>
      <c r="S22" s="131">
        <f t="shared" si="7"/>
        <v>818.85</v>
      </c>
      <c r="T22" s="132">
        <f t="shared" si="8"/>
        <v>-0.107530163158984</v>
      </c>
      <c r="U22" s="36"/>
      <c r="V22" s="35">
        <f>公交!V17-公交!V19</f>
        <v>117.43</v>
      </c>
      <c r="W22" s="36">
        <f t="shared" si="25"/>
        <v>0.0689058802111784</v>
      </c>
      <c r="X22" s="35">
        <f>公交!X17-公交!X19</f>
        <v>109.4</v>
      </c>
      <c r="Y22" s="36">
        <f t="shared" si="26"/>
        <v>0.168304143528404</v>
      </c>
      <c r="Z22" s="35">
        <f>公交!Z17-公交!Z19</f>
        <v>111.98</v>
      </c>
      <c r="AA22" s="36">
        <f t="shared" si="27"/>
        <v>0.0521469510476349</v>
      </c>
      <c r="AB22" s="35">
        <f>公交!AB17-公交!AB19</f>
        <v>119.15</v>
      </c>
      <c r="AC22" s="36">
        <f t="shared" si="28"/>
        <v>-0.0390354060811366</v>
      </c>
      <c r="AD22" s="35">
        <f>公交!AD17-公交!AD19</f>
        <v>118.93</v>
      </c>
      <c r="AE22" s="36">
        <f t="shared" si="29"/>
        <v>0.0390529442600041</v>
      </c>
      <c r="AF22" s="35">
        <f>公交!AF17-公交!AF19</f>
        <v>122.27</v>
      </c>
      <c r="AG22" s="36">
        <f t="shared" si="30"/>
        <v>0.294410332415837</v>
      </c>
      <c r="AH22" s="35">
        <f>公交!AH17-公交!AH19</f>
        <v>110.02</v>
      </c>
      <c r="AI22" s="36">
        <f t="shared" si="31"/>
        <v>-0.0547297877824557</v>
      </c>
      <c r="AJ22" s="35">
        <f>公交!AJ17-公交!AJ19</f>
        <v>108.33</v>
      </c>
      <c r="AK22" s="36">
        <f t="shared" si="32"/>
        <v>-0.0439502250463337</v>
      </c>
      <c r="AL22" s="35">
        <f>公交!AL17-公交!AL19</f>
        <v>115.44</v>
      </c>
      <c r="AM22" s="36">
        <f t="shared" si="33"/>
        <v>-0.0244232231893852</v>
      </c>
      <c r="AN22" s="35">
        <f>公交!AN17-公交!AN19</f>
        <v>115.24</v>
      </c>
      <c r="AO22" s="36">
        <f t="shared" si="34"/>
        <v>-0.0446820857166541</v>
      </c>
      <c r="AP22" s="35">
        <f>公交!AP17-公交!AP19</f>
        <v>114.41</v>
      </c>
      <c r="AQ22" s="36">
        <f t="shared" si="35"/>
        <v>-0.00789108567464569</v>
      </c>
      <c r="AR22" s="35">
        <f>公交!AR17-公交!AR19</f>
        <v>112.75</v>
      </c>
      <c r="AS22" s="36">
        <f t="shared" si="36"/>
        <v>-0.0100096584423567</v>
      </c>
      <c r="AT22" s="35">
        <f t="shared" si="21"/>
        <v>1375.35</v>
      </c>
      <c r="AU22" s="36">
        <f t="shared" si="22"/>
        <v>0.0258370564849961</v>
      </c>
      <c r="AV22" s="37"/>
      <c r="AW22" s="35">
        <v>109.86</v>
      </c>
      <c r="AX22" s="36"/>
      <c r="AY22" s="35">
        <v>93.6400000000001</v>
      </c>
      <c r="AZ22" s="36"/>
      <c r="BA22" s="35">
        <v>106.43</v>
      </c>
      <c r="BB22" s="36"/>
      <c r="BC22" s="35">
        <v>123.99</v>
      </c>
      <c r="BD22" s="36"/>
      <c r="BE22" s="35">
        <v>114.46</v>
      </c>
      <c r="BF22" s="36"/>
      <c r="BG22" s="35">
        <v>94.46</v>
      </c>
      <c r="BH22" s="36"/>
      <c r="BI22" s="35">
        <v>116.39</v>
      </c>
      <c r="BJ22" s="36"/>
      <c r="BK22" s="35">
        <v>113.31</v>
      </c>
      <c r="BL22" s="36"/>
      <c r="BM22" s="35">
        <v>118.33</v>
      </c>
      <c r="BN22" s="36"/>
      <c r="BO22" s="35">
        <v>120.63</v>
      </c>
      <c r="BP22" s="36"/>
      <c r="BQ22" s="35">
        <v>115.32</v>
      </c>
      <c r="BR22" s="36"/>
      <c r="BS22" s="35">
        <v>113.89</v>
      </c>
      <c r="BT22" s="36"/>
      <c r="BU22" s="35">
        <f t="shared" si="23"/>
        <v>1340.71</v>
      </c>
      <c r="BV22" s="36"/>
      <c r="BW22" s="40"/>
      <c r="BX22" s="46"/>
      <c r="BY22" s="46"/>
      <c r="BZ22" s="46"/>
      <c r="CA22" s="46"/>
      <c r="CB22" s="46"/>
      <c r="CC22" s="46"/>
      <c r="CD22" s="41"/>
      <c r="CE22" s="46"/>
      <c r="CF22" s="41"/>
      <c r="CG22" s="41"/>
      <c r="CH22" s="41"/>
      <c r="CI22" s="41"/>
      <c r="CJ22" s="47"/>
    </row>
    <row r="23" s="14" customFormat="1" ht="27" customHeight="1" spans="1:88">
      <c r="A23" s="45"/>
      <c r="B23" s="34" t="s">
        <v>296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127"/>
      <c r="R23" s="127"/>
      <c r="S23" s="131">
        <f t="shared" si="7"/>
        <v>15.03</v>
      </c>
      <c r="T23" s="132">
        <f t="shared" si="8"/>
        <v>-0.633504023408925</v>
      </c>
      <c r="U23" s="36"/>
      <c r="V23" s="35">
        <f>出租!V17-出租!V19</f>
        <v>7.30000000000001</v>
      </c>
      <c r="W23" s="36">
        <f t="shared" si="25"/>
        <v>-0.168564920273344</v>
      </c>
      <c r="X23" s="35">
        <f>出租!X17-出租!X19</f>
        <v>6.64000000000004</v>
      </c>
      <c r="Y23" s="36">
        <f t="shared" si="26"/>
        <v>-0.481249999999997</v>
      </c>
      <c r="Z23" s="35">
        <f>出租!Z17-出租!Z19</f>
        <v>5.17000000000002</v>
      </c>
      <c r="AA23" s="36">
        <f t="shared" si="27"/>
        <v>-0.526989935956078</v>
      </c>
      <c r="AB23" s="35">
        <f>出租!AB17-出租!AB19</f>
        <v>5.02999999999997</v>
      </c>
      <c r="AC23" s="36">
        <f t="shared" si="28"/>
        <v>-0.4964964964965</v>
      </c>
      <c r="AD23" s="35">
        <f>出租!AD17-出租!AD19</f>
        <v>4.13999999999999</v>
      </c>
      <c r="AE23" s="36">
        <f t="shared" si="29"/>
        <v>-0.537430167597766</v>
      </c>
      <c r="AF23" s="35">
        <f>出租!AF17-出租!AF19</f>
        <v>3.5</v>
      </c>
      <c r="AG23" s="36">
        <f t="shared" si="30"/>
        <v>-0.452269170579033</v>
      </c>
      <c r="AH23" s="35">
        <f>出租!AH17-出租!AH19</f>
        <v>4.38999999999999</v>
      </c>
      <c r="AI23" s="36">
        <f t="shared" si="31"/>
        <v>-0.32771822358346</v>
      </c>
      <c r="AJ23" s="35">
        <f>出租!AJ17-出租!AJ19</f>
        <v>4.83999999999997</v>
      </c>
      <c r="AK23" s="36">
        <f t="shared" si="32"/>
        <v>-0.272180451127827</v>
      </c>
      <c r="AL23" s="35">
        <f>出租!AL17-出租!AL19</f>
        <v>4.90000000000003</v>
      </c>
      <c r="AM23" s="36">
        <f t="shared" si="33"/>
        <v>-0.300998573466471</v>
      </c>
      <c r="AN23" s="35">
        <f>出租!AN17-出租!AN19</f>
        <v>4.65000000000003</v>
      </c>
      <c r="AO23" s="36">
        <f t="shared" si="34"/>
        <v>-0.378342245989302</v>
      </c>
      <c r="AP23" s="35">
        <f>出租!AP17-出租!AP19</f>
        <v>4.12</v>
      </c>
      <c r="AQ23" s="36">
        <f t="shared" si="35"/>
        <v>-0.37290715372907</v>
      </c>
      <c r="AR23" s="35">
        <f>出租!AR17-出租!AR19</f>
        <v>4.49000000000001</v>
      </c>
      <c r="AS23" s="36">
        <f t="shared" si="36"/>
        <v>-0.395693135935397</v>
      </c>
      <c r="AT23" s="35">
        <f t="shared" si="21"/>
        <v>59.1700000000001</v>
      </c>
      <c r="AU23" s="36">
        <f t="shared" si="22"/>
        <v>-0.405386393327303</v>
      </c>
      <c r="AV23" s="37"/>
      <c r="AW23" s="35">
        <v>8.77999999999997</v>
      </c>
      <c r="AX23" s="36"/>
      <c r="AY23" s="35">
        <v>12.8</v>
      </c>
      <c r="AZ23" s="36"/>
      <c r="BA23" s="35">
        <v>10.9299999999999</v>
      </c>
      <c r="BB23" s="36"/>
      <c r="BC23" s="35">
        <v>9.99000000000001</v>
      </c>
      <c r="BD23" s="36"/>
      <c r="BE23" s="35">
        <v>8.94999999999999</v>
      </c>
      <c r="BF23" s="36"/>
      <c r="BG23" s="35">
        <v>6.39000000000004</v>
      </c>
      <c r="BH23" s="36"/>
      <c r="BI23" s="35">
        <v>6.52999999999997</v>
      </c>
      <c r="BJ23" s="36"/>
      <c r="BK23" s="35">
        <v>6.65000000000003</v>
      </c>
      <c r="BL23" s="36"/>
      <c r="BM23" s="35">
        <v>7.00999999999999</v>
      </c>
      <c r="BN23" s="36"/>
      <c r="BO23" s="35">
        <v>7.48000000000002</v>
      </c>
      <c r="BP23" s="36"/>
      <c r="BQ23" s="35">
        <v>6.56999999999999</v>
      </c>
      <c r="BR23" s="36"/>
      <c r="BS23" s="35">
        <v>7.43000000000001</v>
      </c>
      <c r="BT23" s="36"/>
      <c r="BU23" s="35">
        <f t="shared" si="23"/>
        <v>99.5099999999999</v>
      </c>
      <c r="BV23" s="36"/>
      <c r="BW23" s="40"/>
      <c r="BX23" s="46"/>
      <c r="BY23" s="46"/>
      <c r="BZ23" s="46"/>
      <c r="CA23" s="46"/>
      <c r="CB23" s="46"/>
      <c r="CC23" s="46"/>
      <c r="CD23" s="41"/>
      <c r="CE23" s="46"/>
      <c r="CF23" s="41"/>
      <c r="CG23" s="41"/>
      <c r="CH23" s="41"/>
      <c r="CI23" s="41"/>
      <c r="CJ23" s="47"/>
    </row>
    <row r="24" s="14" customFormat="1" ht="27" customHeight="1" spans="1:88">
      <c r="A24" s="29"/>
      <c r="B24" s="34" t="s">
        <v>297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127"/>
      <c r="R24" s="127"/>
      <c r="S24" s="131">
        <f t="shared" si="7"/>
        <v>91.877729985945</v>
      </c>
      <c r="T24" s="132">
        <f t="shared" si="8"/>
        <v>0.259265918474898</v>
      </c>
      <c r="U24" s="36"/>
      <c r="V24" s="35">
        <f>网约车!V17-网约车!V19</f>
        <v>5.141594845928</v>
      </c>
      <c r="W24" s="36">
        <f t="shared" si="25"/>
        <v>-0.612605169596952</v>
      </c>
      <c r="X24" s="35">
        <f>网约车!X17-网约车!X19</f>
        <v>6.74239908257479</v>
      </c>
      <c r="Y24" s="36">
        <f t="shared" si="26"/>
        <v>-0.209089321206948</v>
      </c>
      <c r="Z24" s="35">
        <f>网约车!Z17-网约车!Z19</f>
        <v>8.911351615424</v>
      </c>
      <c r="AA24" s="36">
        <f t="shared" si="27"/>
        <v>-0.271492890156904</v>
      </c>
      <c r="AB24" s="35">
        <f>网约车!AB17-网约车!AB19</f>
        <v>10.598976257536</v>
      </c>
      <c r="AC24" s="36">
        <f t="shared" si="28"/>
        <v>-0.145130986192176</v>
      </c>
      <c r="AD24" s="35">
        <f>网约车!AD17-网约车!AD19</f>
        <v>9.33152857345601</v>
      </c>
      <c r="AE24" s="36">
        <f t="shared" si="29"/>
        <v>-0.2804467901271</v>
      </c>
      <c r="AF24" s="35">
        <f>网约车!AF17-网约车!AF19</f>
        <v>8.00298305958401</v>
      </c>
      <c r="AG24" s="36">
        <f t="shared" si="30"/>
        <v>-0.0118118591523778</v>
      </c>
      <c r="AH24" s="35">
        <f>网约车!AH17-网约车!AH19</f>
        <v>10.424020330129</v>
      </c>
      <c r="AI24" s="36">
        <f t="shared" si="31"/>
        <v>0.0916681297011943</v>
      </c>
      <c r="AJ24" s="35">
        <f>网约车!AJ17-网约车!AJ19</f>
        <v>13.808487154702</v>
      </c>
      <c r="AK24" s="36">
        <f t="shared" si="32"/>
        <v>1.01840967515443</v>
      </c>
      <c r="AL24" s="35">
        <f>网约车!AL17-网约车!AL19</f>
        <v>14.379432421292</v>
      </c>
      <c r="AM24" s="36">
        <f t="shared" si="33"/>
        <v>0.546131596444928</v>
      </c>
      <c r="AN24" s="35">
        <f>网约车!AN17-网约车!AN19</f>
        <v>11.225459282417</v>
      </c>
      <c r="AO24" s="36">
        <f t="shared" si="34"/>
        <v>0.364851592246659</v>
      </c>
      <c r="AP24" s="35">
        <f>网约车!AP17-网约车!AP19</f>
        <v>7.58064080883199</v>
      </c>
      <c r="AQ24" s="36">
        <f t="shared" si="35"/>
        <v>-0.0241128623903888</v>
      </c>
      <c r="AR24" s="35">
        <f>网约车!AR17-网约车!AR19</f>
        <v>10.259294137482</v>
      </c>
      <c r="AS24" s="36">
        <f t="shared" si="36"/>
        <v>0.117140265058589</v>
      </c>
      <c r="AT24" s="35">
        <f t="shared" si="21"/>
        <v>116.406167569357</v>
      </c>
      <c r="AU24" s="36">
        <f t="shared" si="22"/>
        <v>-0.0165187073751982</v>
      </c>
      <c r="AV24" s="37"/>
      <c r="AW24" s="35">
        <v>13.272234016594</v>
      </c>
      <c r="AX24" s="36"/>
      <c r="AY24" s="35">
        <v>8.52485528816459</v>
      </c>
      <c r="AZ24" s="36"/>
      <c r="BA24" s="35">
        <v>12.232346802138</v>
      </c>
      <c r="BB24" s="36"/>
      <c r="BC24" s="35">
        <v>12.3983628910881</v>
      </c>
      <c r="BD24" s="36"/>
      <c r="BE24" s="35">
        <v>12.9685038513056</v>
      </c>
      <c r="BF24" s="36"/>
      <c r="BG24" s="35">
        <v>8.09864309110148</v>
      </c>
      <c r="BH24" s="36"/>
      <c r="BI24" s="35">
        <v>9.54870811606656</v>
      </c>
      <c r="BJ24" s="36"/>
      <c r="BK24" s="35">
        <v>6.84127079089902</v>
      </c>
      <c r="BL24" s="36"/>
      <c r="BM24" s="35">
        <v>9.30026425587261</v>
      </c>
      <c r="BN24" s="36"/>
      <c r="BO24" s="35">
        <v>8.22467391047181</v>
      </c>
      <c r="BP24" s="36"/>
      <c r="BQ24" s="35">
        <v>7.76794827668331</v>
      </c>
      <c r="BR24" s="36"/>
      <c r="BS24" s="35">
        <v>9.18353268463019</v>
      </c>
      <c r="BT24" s="36"/>
      <c r="BU24" s="35">
        <f t="shared" si="23"/>
        <v>118.361343975015</v>
      </c>
      <c r="BV24" s="36"/>
      <c r="BW24" s="40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7"/>
    </row>
    <row r="25" s="15" customFormat="1" ht="27" customHeight="1" spans="1:88">
      <c r="A25" s="48" t="s">
        <v>96</v>
      </c>
      <c r="B25" s="34" t="s">
        <v>293</v>
      </c>
      <c r="C25" s="35">
        <f>C26+C27+C28+C29</f>
        <v>266.584590941652</v>
      </c>
      <c r="D25" s="36">
        <f t="shared" si="0"/>
        <v>-0.286838841080702</v>
      </c>
      <c r="E25" s="35">
        <f>E26+E27+E28+E29</f>
        <v>302.954208548761</v>
      </c>
      <c r="F25" s="36">
        <f t="shared" si="1"/>
        <v>-0.283133981157432</v>
      </c>
      <c r="G25" s="35">
        <f>G26+G27+G28+G29</f>
        <v>318.381025789488</v>
      </c>
      <c r="H25" s="36">
        <f t="shared" si="2"/>
        <v>-0.207436825130286</v>
      </c>
      <c r="I25" s="35">
        <f>I26+I27+I28+I29</f>
        <v>358.340748082941</v>
      </c>
      <c r="J25" s="36">
        <f t="shared" si="3"/>
        <v>-0.176433441525926</v>
      </c>
      <c r="K25" s="35">
        <f>K26+K27+K28+K29</f>
        <v>409.310815629065</v>
      </c>
      <c r="L25" s="36">
        <f t="shared" si="4"/>
        <v>-0.0994808056247387</v>
      </c>
      <c r="M25" s="35">
        <f>M26+M27+M28+M29</f>
        <v>385.378900937978</v>
      </c>
      <c r="N25" s="36">
        <f t="shared" si="5"/>
        <v>-0.0285052327415896</v>
      </c>
      <c r="O25" s="35">
        <f>O26+O27+O28+O29</f>
        <v>388.710798468007</v>
      </c>
      <c r="P25" s="36">
        <f t="shared" si="6"/>
        <v>-0.113498265377812</v>
      </c>
      <c r="Q25" s="127"/>
      <c r="R25" s="127"/>
      <c r="S25" s="131">
        <f t="shared" si="7"/>
        <v>2429.66108839789</v>
      </c>
      <c r="T25" s="132">
        <f t="shared" si="8"/>
        <v>-0.279278856012706</v>
      </c>
      <c r="U25" s="36"/>
      <c r="V25" s="35">
        <f>V26+V27+V28+V29</f>
        <v>373.806940559727</v>
      </c>
      <c r="W25" s="36">
        <f t="shared" si="25"/>
        <v>0.170971750746944</v>
      </c>
      <c r="X25" s="35">
        <f>X26+X27+X28+X29</f>
        <v>422.609247175508</v>
      </c>
      <c r="Y25" s="36">
        <f t="shared" si="26"/>
        <v>0.303355353552551</v>
      </c>
      <c r="Z25" s="35">
        <f>Z26+Z27+Z28+Z29</f>
        <v>401.710596561372</v>
      </c>
      <c r="AA25" s="36">
        <f t="shared" si="27"/>
        <v>0.242092966631202</v>
      </c>
      <c r="AB25" s="35">
        <f>AB26+AB27+AB28+AB29</f>
        <v>435.108424930323</v>
      </c>
      <c r="AC25" s="36">
        <f t="shared" si="28"/>
        <v>0.18218610704959</v>
      </c>
      <c r="AD25" s="35">
        <f>AD26+AD27+AD28+AD29</f>
        <v>454.527586069974</v>
      </c>
      <c r="AE25" s="36">
        <f t="shared" si="29"/>
        <v>0.169647681397262</v>
      </c>
      <c r="AF25" s="35">
        <f>AF26+AF27+AF28+AF29</f>
        <v>396.686543176686</v>
      </c>
      <c r="AG25" s="36">
        <f t="shared" si="30"/>
        <v>0.0967161075761143</v>
      </c>
      <c r="AH25" s="35">
        <f>AH26+AH27+AH28+AH29</f>
        <v>438.477200085422</v>
      </c>
      <c r="AI25" s="36">
        <f t="shared" si="31"/>
        <v>0.148404731997799</v>
      </c>
      <c r="AJ25" s="35">
        <f>AJ26+AJ27+AJ28+AJ29</f>
        <v>448.226241774466</v>
      </c>
      <c r="AK25" s="36">
        <f t="shared" si="32"/>
        <v>0.131803858707032</v>
      </c>
      <c r="AL25" s="35">
        <f>AL26+AL27+AL28+AL29</f>
        <v>400.724048429599</v>
      </c>
      <c r="AM25" s="36">
        <f t="shared" si="33"/>
        <v>0.0869921806292009</v>
      </c>
      <c r="AN25" s="35">
        <f>AN26+AN27+AN28+AN29</f>
        <v>440.358474255103</v>
      </c>
      <c r="AO25" s="36">
        <f t="shared" si="34"/>
        <v>0.112453337430134</v>
      </c>
      <c r="AP25" s="35">
        <f>AP26+AP27+AP28+AP29</f>
        <v>379.09868962034</v>
      </c>
      <c r="AQ25" s="36">
        <f t="shared" si="35"/>
        <v>0.0184329853419272</v>
      </c>
      <c r="AR25" s="35">
        <f>AR26+AR27+AR28+AR29</f>
        <v>343.523330820217</v>
      </c>
      <c r="AS25" s="36">
        <f t="shared" si="36"/>
        <v>0.0217009914941841</v>
      </c>
      <c r="AT25" s="35">
        <f t="shared" si="21"/>
        <v>4934.85732345874</v>
      </c>
      <c r="AU25" s="36">
        <f t="shared" si="22"/>
        <v>0.138098541334592</v>
      </c>
      <c r="AV25" s="37"/>
      <c r="AW25" s="38">
        <f>AW26+AW27+AW28+AW29</f>
        <v>319.227974817737</v>
      </c>
      <c r="AX25" s="37"/>
      <c r="AY25" s="38">
        <f>AY26+AY27+AY28+AY29</f>
        <v>324.247141060651</v>
      </c>
      <c r="AZ25" s="37"/>
      <c r="BA25" s="38">
        <f>BA26+BA27+BA28+BA29</f>
        <v>323.414275221998</v>
      </c>
      <c r="BB25" s="37"/>
      <c r="BC25" s="38">
        <f>BC26+BC27+BC28+BC29</f>
        <v>368.054084154511</v>
      </c>
      <c r="BD25" s="37"/>
      <c r="BE25" s="38">
        <f>BE26+BE27+BE28+BE29</f>
        <v>388.602134898429</v>
      </c>
      <c r="BF25" s="37"/>
      <c r="BG25" s="38">
        <f>BG26+BG27+BG28+BG29</f>
        <v>361.703945475384</v>
      </c>
      <c r="BH25" s="37"/>
      <c r="BI25" s="38">
        <f>BI26+BI27+BI28+BI29</f>
        <v>381.814170447238</v>
      </c>
      <c r="BJ25" s="37"/>
      <c r="BK25" s="38">
        <f>BK26+BK27+BK28+BK29</f>
        <v>396.028197223605</v>
      </c>
      <c r="BL25" s="37"/>
      <c r="BM25" s="38">
        <f>BM26+BM27+BM28+BM29</f>
        <v>368.65403042517</v>
      </c>
      <c r="BN25" s="37"/>
      <c r="BO25" s="38">
        <f>BO26+BO27+BO28+BO29</f>
        <v>395.844445280168</v>
      </c>
      <c r="BP25" s="37"/>
      <c r="BQ25" s="38">
        <f>BQ26+BQ27+BQ28+BQ29</f>
        <v>372.237245922531</v>
      </c>
      <c r="BR25" s="37"/>
      <c r="BS25" s="38">
        <f>BS26+BS27+BS28+BS29</f>
        <v>336.226874281322</v>
      </c>
      <c r="BT25" s="37"/>
      <c r="BU25" s="38">
        <f t="shared" si="23"/>
        <v>4336.05451920874</v>
      </c>
      <c r="BV25" s="37"/>
      <c r="BW25" s="39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</row>
    <row r="26" ht="27" customHeight="1" spans="1:88">
      <c r="A26" s="45"/>
      <c r="B26" s="34" t="s">
        <v>294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-0.144885295223768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-0.0672002824439057</v>
      </c>
      <c r="K26" s="35">
        <f>班线包车!K18</f>
        <v>277.3764</v>
      </c>
      <c r="L26" s="36">
        <f t="shared" si="4"/>
        <v>0.0502417200288368</v>
      </c>
      <c r="M26" s="35">
        <f>班线包车!M18</f>
        <v>250.6952</v>
      </c>
      <c r="N26" s="36">
        <f t="shared" si="5"/>
        <v>0.0911252863877883</v>
      </c>
      <c r="O26" s="35">
        <f>班线包车!O18</f>
        <v>253.9301</v>
      </c>
      <c r="P26" s="36">
        <f t="shared" si="6"/>
        <v>0.0155558799474484</v>
      </c>
      <c r="Q26" s="127"/>
      <c r="R26" s="127"/>
      <c r="S26" s="131">
        <f t="shared" si="7"/>
        <v>1631.0758</v>
      </c>
      <c r="T26" s="132">
        <f t="shared" si="8"/>
        <v>-0.189711835474734</v>
      </c>
      <c r="U26" s="36"/>
      <c r="V26" s="35">
        <f>班线包车!V18</f>
        <v>248.1529</v>
      </c>
      <c r="W26" s="36">
        <f t="shared" si="25"/>
        <v>0.222662372247687</v>
      </c>
      <c r="X26" s="35">
        <f>班线包车!X18</f>
        <v>252.0732</v>
      </c>
      <c r="Y26" s="36">
        <f t="shared" si="26"/>
        <v>0.191134859685367</v>
      </c>
      <c r="Z26" s="35">
        <f>班线包车!Z18</f>
        <v>236.835</v>
      </c>
      <c r="AA26" s="36">
        <f t="shared" si="27"/>
        <v>0.0597483559100653</v>
      </c>
      <c r="AB26" s="35">
        <f>班线包车!AB18</f>
        <v>261.1492</v>
      </c>
      <c r="AC26" s="36">
        <f t="shared" si="28"/>
        <v>-0.0425839716737435</v>
      </c>
      <c r="AD26" s="35">
        <f>班线包车!AD18</f>
        <v>264.1072</v>
      </c>
      <c r="AE26" s="36">
        <f t="shared" si="29"/>
        <v>-0.0766208952092929</v>
      </c>
      <c r="AF26" s="35">
        <f>班线包车!AF18</f>
        <v>229.7584</v>
      </c>
      <c r="AG26" s="36">
        <f t="shared" si="30"/>
        <v>-0.158123381805577</v>
      </c>
      <c r="AH26" s="35">
        <f>班线包车!AH18</f>
        <v>250.0405</v>
      </c>
      <c r="AI26" s="36">
        <f t="shared" si="31"/>
        <v>-0.127215031251113</v>
      </c>
      <c r="AJ26" s="35">
        <f>班线包车!AJ18</f>
        <v>270.8413</v>
      </c>
      <c r="AK26" s="36">
        <f t="shared" si="32"/>
        <v>-0.121594264379268</v>
      </c>
      <c r="AL26" s="35">
        <f>班线包车!AL18</f>
        <v>233.6322</v>
      </c>
      <c r="AM26" s="36">
        <f t="shared" si="33"/>
        <v>-0.167069408208797</v>
      </c>
      <c r="AN26" s="35">
        <f>班线包车!AN18</f>
        <v>265.9381</v>
      </c>
      <c r="AO26" s="36">
        <f t="shared" si="34"/>
        <v>-0.136215450726024</v>
      </c>
      <c r="AP26" s="35">
        <f>班线包车!AP18</f>
        <v>236.3336</v>
      </c>
      <c r="AQ26" s="36">
        <f t="shared" si="35"/>
        <v>-0.137549821951072</v>
      </c>
      <c r="AR26" s="35">
        <f>班线包车!AR18</f>
        <v>200.5632</v>
      </c>
      <c r="AS26" s="36">
        <f t="shared" si="36"/>
        <v>-0.142563257181602</v>
      </c>
      <c r="AT26" s="35">
        <f t="shared" si="21"/>
        <v>2949.4248</v>
      </c>
      <c r="AU26" s="36">
        <f t="shared" si="22"/>
        <v>-0.0669009381340973</v>
      </c>
      <c r="AV26" s="37"/>
      <c r="AW26" s="35">
        <v>202.9611</v>
      </c>
      <c r="AX26" s="36"/>
      <c r="AY26" s="35">
        <v>211.6244</v>
      </c>
      <c r="AZ26" s="36"/>
      <c r="BA26" s="35">
        <v>223.4823</v>
      </c>
      <c r="BB26" s="36"/>
      <c r="BC26" s="35">
        <v>272.7646</v>
      </c>
      <c r="BD26" s="36"/>
      <c r="BE26" s="35">
        <v>286.0225</v>
      </c>
      <c r="BF26" s="36"/>
      <c r="BG26" s="35">
        <v>272.9122</v>
      </c>
      <c r="BH26" s="36"/>
      <c r="BI26" s="35">
        <v>286.4858</v>
      </c>
      <c r="BJ26" s="36"/>
      <c r="BK26" s="35">
        <v>308.3328</v>
      </c>
      <c r="BL26" s="36"/>
      <c r="BM26" s="35">
        <v>280.4942</v>
      </c>
      <c r="BN26" s="36"/>
      <c r="BO26" s="35">
        <v>307.8755</v>
      </c>
      <c r="BP26" s="36"/>
      <c r="BQ26" s="35">
        <v>274.0258</v>
      </c>
      <c r="BR26" s="36"/>
      <c r="BS26" s="35">
        <v>233.9102</v>
      </c>
      <c r="BT26" s="36"/>
      <c r="BU26" s="35">
        <f t="shared" si="23"/>
        <v>3160.8914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295</v>
      </c>
      <c r="C27" s="35">
        <f>公交!C21-公交!C23</f>
        <v>40.97</v>
      </c>
      <c r="D27" s="36">
        <f t="shared" si="0"/>
        <v>-0.128853923027853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</v>
      </c>
      <c r="H27" s="36">
        <f t="shared" si="2"/>
        <v>-0.316663164530363</v>
      </c>
      <c r="I27" s="35">
        <f>公交!I21-公交!I23</f>
        <v>31.47</v>
      </c>
      <c r="J27" s="36">
        <f t="shared" si="3"/>
        <v>-0.297858099062917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</v>
      </c>
      <c r="P27" s="36">
        <f t="shared" si="6"/>
        <v>-0.0262755102040838</v>
      </c>
      <c r="Q27" s="127"/>
      <c r="R27" s="127"/>
      <c r="S27" s="131">
        <f t="shared" si="7"/>
        <v>265.8</v>
      </c>
      <c r="T27" s="132">
        <f t="shared" si="8"/>
        <v>-0.243812233285917</v>
      </c>
      <c r="U27" s="36"/>
      <c r="V27" s="35">
        <f>公交!V21-公交!V23</f>
        <v>47.03</v>
      </c>
      <c r="W27" s="36">
        <f t="shared" si="25"/>
        <v>0.686872309899563</v>
      </c>
      <c r="X27" s="35">
        <f>公交!X21-公交!X23</f>
        <v>48.26</v>
      </c>
      <c r="Y27" s="36">
        <f t="shared" si="26"/>
        <v>0.661845730027542</v>
      </c>
      <c r="Z27" s="35">
        <f>公交!Z21-公交!Z23</f>
        <v>47.5899999999999</v>
      </c>
      <c r="AA27" s="36">
        <f t="shared" si="27"/>
        <v>0.665733286664336</v>
      </c>
      <c r="AB27" s="35">
        <f>公交!AB21-公交!AB23</f>
        <v>44.8199999999999</v>
      </c>
      <c r="AC27" s="36">
        <f t="shared" si="28"/>
        <v>0.625680087051146</v>
      </c>
      <c r="AD27" s="35">
        <f>公交!AD21-公交!AD23</f>
        <v>41.29</v>
      </c>
      <c r="AE27" s="36">
        <f t="shared" si="29"/>
        <v>0.37771104437771</v>
      </c>
      <c r="AF27" s="35">
        <f>公交!AF21-公交!AF23</f>
        <v>42.1200000000001</v>
      </c>
      <c r="AG27" s="36">
        <f t="shared" si="30"/>
        <v>0.461992363762592</v>
      </c>
      <c r="AH27" s="35">
        <f>公交!AH21-公交!AH23</f>
        <v>39.2</v>
      </c>
      <c r="AI27" s="36">
        <f t="shared" si="31"/>
        <v>0.512345679012347</v>
      </c>
      <c r="AJ27" s="35">
        <f>公交!AJ21-公交!AJ23</f>
        <v>41.1900000000001</v>
      </c>
      <c r="AK27" s="36">
        <f t="shared" si="32"/>
        <v>0.433693003828752</v>
      </c>
      <c r="AL27" s="35">
        <f>公交!AL21-公交!AL23</f>
        <v>43.9299999999999</v>
      </c>
      <c r="AM27" s="36">
        <f t="shared" si="33"/>
        <v>0.566690442225385</v>
      </c>
      <c r="AN27" s="35">
        <f>公交!AN21-公交!AN23</f>
        <v>43.63</v>
      </c>
      <c r="AO27" s="36">
        <f t="shared" si="34"/>
        <v>0.502410468319559</v>
      </c>
      <c r="AP27" s="35">
        <f>公交!AP21-公交!AP23</f>
        <v>42.5899999999999</v>
      </c>
      <c r="AQ27" s="36">
        <f t="shared" si="35"/>
        <v>-0.0148045338885052</v>
      </c>
      <c r="AR27" s="35">
        <f>公交!AR21-公交!AR23</f>
        <v>43.27</v>
      </c>
      <c r="AS27" s="36">
        <f t="shared" si="36"/>
        <v>-0.0263276327632723</v>
      </c>
      <c r="AT27" s="35">
        <f t="shared" si="21"/>
        <v>524.92</v>
      </c>
      <c r="AU27" s="36">
        <f t="shared" si="22"/>
        <v>0.413964012498654</v>
      </c>
      <c r="AV27" s="37"/>
      <c r="AW27" s="35">
        <v>27.8800000000001</v>
      </c>
      <c r="AX27" s="36"/>
      <c r="AY27" s="35">
        <v>29.0400000000001</v>
      </c>
      <c r="AZ27" s="36"/>
      <c r="BA27" s="35">
        <v>28.5699999999999</v>
      </c>
      <c r="BB27" s="36"/>
      <c r="BC27" s="35">
        <v>27.5699999999999</v>
      </c>
      <c r="BD27" s="36"/>
      <c r="BE27" s="35">
        <v>29.97</v>
      </c>
      <c r="BF27" s="36"/>
      <c r="BG27" s="35">
        <v>28.8099999999999</v>
      </c>
      <c r="BH27" s="36"/>
      <c r="BI27" s="35">
        <v>25.92</v>
      </c>
      <c r="BJ27" s="36"/>
      <c r="BK27" s="35">
        <v>28.73</v>
      </c>
      <c r="BL27" s="36"/>
      <c r="BM27" s="35">
        <v>28.0400000000001</v>
      </c>
      <c r="BN27" s="36"/>
      <c r="BO27" s="35">
        <v>29.04</v>
      </c>
      <c r="BP27" s="36"/>
      <c r="BQ27" s="35">
        <v>43.23</v>
      </c>
      <c r="BR27" s="36"/>
      <c r="BS27" s="35">
        <v>44.4399999999998</v>
      </c>
      <c r="BT27" s="36"/>
      <c r="BU27" s="35">
        <f t="shared" si="23"/>
        <v>371.24</v>
      </c>
      <c r="BV27" s="36"/>
      <c r="BW27" s="40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7"/>
    </row>
    <row r="28" ht="27" customHeight="1" spans="1:88">
      <c r="A28" s="45"/>
      <c r="B28" s="34" t="s">
        <v>296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127"/>
      <c r="R28" s="127"/>
      <c r="S28" s="131">
        <f t="shared" si="7"/>
        <v>287.84</v>
      </c>
      <c r="T28" s="132">
        <f t="shared" si="8"/>
        <v>-0.57360195541071</v>
      </c>
      <c r="U28" s="36"/>
      <c r="V28" s="35">
        <f>出租!V21-出租!V23</f>
        <v>52.39</v>
      </c>
      <c r="W28" s="36">
        <f t="shared" si="25"/>
        <v>-0.110526315789474</v>
      </c>
      <c r="X28" s="35">
        <f>出租!X21-出租!X23</f>
        <v>88.07</v>
      </c>
      <c r="Y28" s="36">
        <f t="shared" si="26"/>
        <v>0.389116719242901</v>
      </c>
      <c r="Z28" s="35">
        <f>出租!Z21-出租!Z23</f>
        <v>87.86</v>
      </c>
      <c r="AA28" s="36">
        <f t="shared" si="27"/>
        <v>0.874546618305953</v>
      </c>
      <c r="AB28" s="35">
        <f>出租!AB21-出租!AB23</f>
        <v>90.71</v>
      </c>
      <c r="AC28" s="36">
        <f t="shared" si="28"/>
        <v>1.08720662678325</v>
      </c>
      <c r="AD28" s="35">
        <f>出租!AD21-出租!AD23</f>
        <v>94.8099999999999</v>
      </c>
      <c r="AE28" s="36">
        <f t="shared" si="29"/>
        <v>1.08419432842383</v>
      </c>
      <c r="AF28" s="35">
        <f>出租!AF21-出租!AF23</f>
        <v>81.42</v>
      </c>
      <c r="AG28" s="36">
        <f t="shared" si="30"/>
        <v>1.12529365700861</v>
      </c>
      <c r="AH28" s="35">
        <f>出租!AH21-出租!AH23</f>
        <v>95.0600000000001</v>
      </c>
      <c r="AI28" s="36">
        <f t="shared" si="31"/>
        <v>1.25956738768719</v>
      </c>
      <c r="AJ28" s="35">
        <f>出租!AJ21-出租!AJ23</f>
        <v>84.7299999999999</v>
      </c>
      <c r="AK28" s="36">
        <f t="shared" si="32"/>
        <v>1.24628844114528</v>
      </c>
      <c r="AL28" s="35">
        <f>出租!AL21-出租!AL23</f>
        <v>80.34</v>
      </c>
      <c r="AM28" s="36">
        <f t="shared" si="33"/>
        <v>1.22857142857143</v>
      </c>
      <c r="AN28" s="35">
        <f>出租!AN21-出租!AN23</f>
        <v>88.15</v>
      </c>
      <c r="AO28" s="36">
        <f t="shared" si="34"/>
        <v>1.46091568955891</v>
      </c>
      <c r="AP28" s="35">
        <f>出租!AP21-出租!AP23</f>
        <v>68.14</v>
      </c>
      <c r="AQ28" s="36">
        <f t="shared" si="35"/>
        <v>1.07238442822384</v>
      </c>
      <c r="AR28" s="35">
        <f>出租!AR21-出租!AR23</f>
        <v>67.86</v>
      </c>
      <c r="AS28" s="36">
        <f t="shared" si="36"/>
        <v>0.927293382561773</v>
      </c>
      <c r="AT28" s="35">
        <f t="shared" si="21"/>
        <v>979.54</v>
      </c>
      <c r="AU28" s="36">
        <f t="shared" si="22"/>
        <v>0.897671354953699</v>
      </c>
      <c r="AV28" s="37"/>
      <c r="AW28" s="35">
        <v>58.9</v>
      </c>
      <c r="AX28" s="36"/>
      <c r="AY28" s="35">
        <v>63.4000000000001</v>
      </c>
      <c r="AZ28" s="36"/>
      <c r="BA28" s="35">
        <v>46.87</v>
      </c>
      <c r="BB28" s="36"/>
      <c r="BC28" s="35">
        <v>43.46</v>
      </c>
      <c r="BD28" s="36"/>
      <c r="BE28" s="35">
        <v>45.49</v>
      </c>
      <c r="BF28" s="36"/>
      <c r="BG28" s="35">
        <v>38.3100000000001</v>
      </c>
      <c r="BH28" s="36"/>
      <c r="BI28" s="35">
        <v>42.0699999999999</v>
      </c>
      <c r="BJ28" s="36"/>
      <c r="BK28" s="35">
        <v>37.7199999999999</v>
      </c>
      <c r="BL28" s="36"/>
      <c r="BM28" s="35">
        <v>36.05</v>
      </c>
      <c r="BN28" s="36"/>
      <c r="BO28" s="35">
        <v>35.8199999999999</v>
      </c>
      <c r="BP28" s="36"/>
      <c r="BQ28" s="35">
        <v>32.88</v>
      </c>
      <c r="BR28" s="36"/>
      <c r="BS28" s="35">
        <v>35.21</v>
      </c>
      <c r="BT28" s="36"/>
      <c r="BU28" s="35">
        <f t="shared" si="23"/>
        <v>516.18</v>
      </c>
      <c r="BV28" s="36"/>
      <c r="BW28" s="40"/>
      <c r="BX28" s="49"/>
      <c r="BY28" s="49"/>
      <c r="BZ28" s="49"/>
      <c r="CA28" s="49"/>
      <c r="CB28" s="49"/>
      <c r="CC28" s="49"/>
      <c r="CD28" s="50"/>
      <c r="CE28" s="49"/>
      <c r="CF28" s="50"/>
      <c r="CG28" s="50"/>
      <c r="CH28" s="50"/>
      <c r="CI28" s="50"/>
      <c r="CJ28" s="47"/>
    </row>
    <row r="29" ht="27" customHeight="1" spans="1:88">
      <c r="A29" s="29"/>
      <c r="B29" s="34" t="s">
        <v>297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127"/>
      <c r="R29" s="127"/>
      <c r="S29" s="131">
        <f t="shared" si="7"/>
        <v>244.945288397892</v>
      </c>
      <c r="T29" s="132">
        <f t="shared" si="8"/>
        <v>-0.26142342243825</v>
      </c>
      <c r="U29" s="36"/>
      <c r="V29" s="35">
        <f>网约车!V21-网约车!V23</f>
        <v>26.234040559727</v>
      </c>
      <c r="W29" s="36">
        <f t="shared" si="25"/>
        <v>-0.110314649419995</v>
      </c>
      <c r="X29" s="35">
        <f>网约车!X21-网约车!X23</f>
        <v>34.206047175508</v>
      </c>
      <c r="Y29" s="36">
        <f t="shared" si="26"/>
        <v>0.694816728447177</v>
      </c>
      <c r="Z29" s="35">
        <f>网约车!Z21-网约车!Z23</f>
        <v>29.425596561372</v>
      </c>
      <c r="AA29" s="36">
        <f t="shared" si="27"/>
        <v>0.201438279054849</v>
      </c>
      <c r="AB29" s="35">
        <f>网约车!AB21-网约车!AB23</f>
        <v>38.429224930323</v>
      </c>
      <c r="AC29" s="36">
        <f t="shared" si="28"/>
        <v>0.584090769843416</v>
      </c>
      <c r="AD29" s="35">
        <f>网约车!AD21-网约车!AD23</f>
        <v>54.320386069974</v>
      </c>
      <c r="AE29" s="36">
        <f t="shared" si="29"/>
        <v>1.00299105328738</v>
      </c>
      <c r="AF29" s="35">
        <f>网约车!AF21-网约车!AF23</f>
        <v>43.388143176686</v>
      </c>
      <c r="AG29" s="36">
        <f t="shared" si="30"/>
        <v>1.00206038899677</v>
      </c>
      <c r="AH29" s="35">
        <f>网约车!AH21-网约车!AH23</f>
        <v>54.176700085422</v>
      </c>
      <c r="AI29" s="36">
        <f t="shared" si="31"/>
        <v>0.981709194773747</v>
      </c>
      <c r="AJ29" s="35">
        <f>网约车!AJ21-网约车!AJ23</f>
        <v>51.464941774466</v>
      </c>
      <c r="AK29" s="36">
        <f t="shared" si="32"/>
        <v>1.42240430869819</v>
      </c>
      <c r="AL29" s="35">
        <f>网约车!AL21-网约车!AL23</f>
        <v>42.821848429599</v>
      </c>
      <c r="AM29" s="36">
        <f t="shared" si="33"/>
        <v>0.779067308460162</v>
      </c>
      <c r="AN29" s="35">
        <f>网约车!AN21-网约车!AN23</f>
        <v>42.640374255103</v>
      </c>
      <c r="AO29" s="36">
        <f t="shared" si="34"/>
        <v>0.845189113485688</v>
      </c>
      <c r="AP29" s="35">
        <f>网约车!AP21-网约车!AP23</f>
        <v>32.03508962034</v>
      </c>
      <c r="AQ29" s="36">
        <f t="shared" si="35"/>
        <v>0.449456733854821</v>
      </c>
      <c r="AR29" s="35">
        <f>网约车!AR21-网约车!AR23</f>
        <v>31.830130820217</v>
      </c>
      <c r="AS29" s="36">
        <f t="shared" si="36"/>
        <v>0.404270005611093</v>
      </c>
      <c r="AT29" s="35">
        <f t="shared" si="21"/>
        <v>480.972523458737</v>
      </c>
      <c r="AU29" s="36">
        <f t="shared" si="22"/>
        <v>0.671534404650057</v>
      </c>
      <c r="AV29" s="37"/>
      <c r="AW29" s="35">
        <v>29.4868748177369</v>
      </c>
      <c r="AX29" s="36"/>
      <c r="AY29" s="35">
        <v>20.1827410606504</v>
      </c>
      <c r="AZ29" s="36"/>
      <c r="BA29" s="35">
        <v>24.4919752219986</v>
      </c>
      <c r="BB29" s="36"/>
      <c r="BC29" s="35">
        <v>24.2594841545107</v>
      </c>
      <c r="BD29" s="36"/>
      <c r="BE29" s="35">
        <v>27.1196348984292</v>
      </c>
      <c r="BF29" s="36"/>
      <c r="BG29" s="35">
        <v>21.6717454753839</v>
      </c>
      <c r="BH29" s="36"/>
      <c r="BI29" s="35">
        <v>27.3383704472378</v>
      </c>
      <c r="BJ29" s="36"/>
      <c r="BK29" s="35">
        <v>21.2453972236053</v>
      </c>
      <c r="BL29" s="36"/>
      <c r="BM29" s="35">
        <v>24.0698304251696</v>
      </c>
      <c r="BN29" s="36"/>
      <c r="BO29" s="35">
        <v>23.1089452801683</v>
      </c>
      <c r="BP29" s="36"/>
      <c r="BQ29" s="35">
        <v>22.1014459225305</v>
      </c>
      <c r="BR29" s="36"/>
      <c r="BS29" s="35">
        <v>22.6666742813221</v>
      </c>
      <c r="BT29" s="36"/>
      <c r="BU29" s="35">
        <f t="shared" si="23"/>
        <v>287.743119208743</v>
      </c>
      <c r="BV29" s="36"/>
      <c r="BW29" s="40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7"/>
    </row>
    <row r="30" s="15" customFormat="1" ht="27" customHeight="1" spans="1:88">
      <c r="A30" s="48" t="s">
        <v>97</v>
      </c>
      <c r="B30" s="34" t="s">
        <v>293</v>
      </c>
      <c r="C30" s="35">
        <f>C31+C32+C33+C34</f>
        <v>394.461782104102</v>
      </c>
      <c r="D30" s="36">
        <f t="shared" si="0"/>
        <v>0.306333481562744</v>
      </c>
      <c r="E30" s="35">
        <f>E31+E32+E33+E34</f>
        <v>423.817804860553</v>
      </c>
      <c r="F30" s="36">
        <f t="shared" si="1"/>
        <v>0.383309874768095</v>
      </c>
      <c r="G30" s="35">
        <f>G31+G32+G33+G34</f>
        <v>414.652784515515</v>
      </c>
      <c r="H30" s="36">
        <f t="shared" si="2"/>
        <v>0.0847181187460784</v>
      </c>
      <c r="I30" s="35">
        <f>I31+I32+I33+I34</f>
        <v>413.642263314168</v>
      </c>
      <c r="J30" s="36">
        <f t="shared" si="3"/>
        <v>0.0587140490084292</v>
      </c>
      <c r="K30" s="35">
        <f>K31+K32+K33+K34</f>
        <v>424.473613606562</v>
      </c>
      <c r="L30" s="36">
        <f t="shared" si="4"/>
        <v>-0.076121022848568</v>
      </c>
      <c r="M30" s="35">
        <f>M31+M32+M33+M34</f>
        <v>421.205677264065</v>
      </c>
      <c r="N30" s="36">
        <f t="shared" si="5"/>
        <v>0.00093552938341146</v>
      </c>
      <c r="O30" s="35">
        <f>O31+O32+O33+O34</f>
        <v>400.857410448073</v>
      </c>
      <c r="P30" s="36">
        <f t="shared" si="6"/>
        <v>-0.0629049828435946</v>
      </c>
      <c r="Q30" s="127"/>
      <c r="R30" s="127"/>
      <c r="S30" s="131">
        <f t="shared" si="7"/>
        <v>2893.11133611304</v>
      </c>
      <c r="T30" s="132">
        <f t="shared" si="8"/>
        <v>-0.0715215044755348</v>
      </c>
      <c r="U30" s="36"/>
      <c r="V30" s="35">
        <f>V31+V32+V33+V34</f>
        <v>301.961013532482</v>
      </c>
      <c r="W30" s="36">
        <f t="shared" si="25"/>
        <v>-0.0184908760395497</v>
      </c>
      <c r="X30" s="35">
        <f>X31+X32+X33+X34</f>
        <v>306.379512350119</v>
      </c>
      <c r="Y30" s="36">
        <f t="shared" si="26"/>
        <v>-0.00889971873545159</v>
      </c>
      <c r="Z30" s="35">
        <f>Z31+Z32+Z33+Z34</f>
        <v>382.267777544685</v>
      </c>
      <c r="AA30" s="36">
        <f t="shared" si="27"/>
        <v>0.334419317730135</v>
      </c>
      <c r="AB30" s="35">
        <f>AB31+AB32+AB33+AB34</f>
        <v>390.702535497264</v>
      </c>
      <c r="AC30" s="36">
        <f t="shared" si="28"/>
        <v>0.328274563380158</v>
      </c>
      <c r="AD30" s="35">
        <f>AD31+AD32+AD33+AD34</f>
        <v>459.447204779276</v>
      </c>
      <c r="AE30" s="36">
        <f t="shared" si="29"/>
        <v>0.564773896432678</v>
      </c>
      <c r="AF30" s="35">
        <f>AF31+AF32+AF33+AF34</f>
        <v>420.811995277591</v>
      </c>
      <c r="AG30" s="36">
        <f t="shared" si="30"/>
        <v>0.496557657362429</v>
      </c>
      <c r="AH30" s="35">
        <f>AH31+AH32+AH33+AH34</f>
        <v>427.766024905848</v>
      </c>
      <c r="AI30" s="36">
        <f t="shared" si="31"/>
        <v>0.500460161733279</v>
      </c>
      <c r="AJ30" s="35">
        <f>AJ31+AJ32+AJ33+AJ34</f>
        <v>426.634149810383</v>
      </c>
      <c r="AK30" s="36">
        <f t="shared" si="32"/>
        <v>0.508832123453331</v>
      </c>
      <c r="AL30" s="35">
        <f>AL31+AL32+AL33+AL34</f>
        <v>411.201082297246</v>
      </c>
      <c r="AM30" s="36">
        <f t="shared" si="33"/>
        <v>0.538152716405447</v>
      </c>
      <c r="AN30" s="35">
        <f>AN31+AN32+AN33+AN34</f>
        <v>444.9421016148</v>
      </c>
      <c r="AO30" s="36">
        <f t="shared" si="34"/>
        <v>0.580985309984348</v>
      </c>
      <c r="AP30" s="35">
        <f>AP31+AP32+AP33+AP34</f>
        <v>403.027839057959</v>
      </c>
      <c r="AQ30" s="36">
        <f t="shared" si="35"/>
        <v>0.466677575054033</v>
      </c>
      <c r="AR30" s="35">
        <f>AR31+AR32+AR33+AR34</f>
        <v>394.064012180386</v>
      </c>
      <c r="AS30" s="36">
        <f t="shared" si="36"/>
        <v>0.423781912072108</v>
      </c>
      <c r="AT30" s="35">
        <f t="shared" si="21"/>
        <v>4769.20524884804</v>
      </c>
      <c r="AU30" s="36">
        <f t="shared" si="22"/>
        <v>0.386246039536464</v>
      </c>
      <c r="AV30" s="37"/>
      <c r="AW30" s="38">
        <f>AW31+AW32+AW33+AW34</f>
        <v>307.649726488584</v>
      </c>
      <c r="AX30" s="37"/>
      <c r="AY30" s="38">
        <f>AY31+AY32+AY33+AY34</f>
        <v>309.130688530537</v>
      </c>
      <c r="AZ30" s="37"/>
      <c r="BA30" s="38">
        <f>BA31+BA32+BA33+BA34</f>
        <v>286.467508725014</v>
      </c>
      <c r="BB30" s="37"/>
      <c r="BC30" s="38">
        <f>BC31+BC32+BC33+BC34</f>
        <v>294.142902581086</v>
      </c>
      <c r="BD30" s="37"/>
      <c r="BE30" s="38">
        <f>BE31+BE32+BE33+BE34</f>
        <v>293.618909304858</v>
      </c>
      <c r="BF30" s="37"/>
      <c r="BG30" s="38">
        <f>BG31+BG32+BG33+BG34</f>
        <v>281.186623988307</v>
      </c>
      <c r="BH30" s="37"/>
      <c r="BI30" s="38">
        <f>BI31+BI32+BI33+BI34</f>
        <v>285.08989163145</v>
      </c>
      <c r="BJ30" s="37"/>
      <c r="BK30" s="38">
        <f>BK31+BK32+BK33+BK34</f>
        <v>282.757864959772</v>
      </c>
      <c r="BL30" s="37"/>
      <c r="BM30" s="38">
        <f>BM31+BM32+BM33+BM34</f>
        <v>267.334366679918</v>
      </c>
      <c r="BN30" s="37"/>
      <c r="BO30" s="38">
        <f>BO31+BO32+BO33+BO34</f>
        <v>281.433419276492</v>
      </c>
      <c r="BP30" s="37"/>
      <c r="BQ30" s="38">
        <f>BQ31+BQ32+BQ33+BQ34</f>
        <v>274.789664690354</v>
      </c>
      <c r="BR30" s="37"/>
      <c r="BS30" s="38">
        <f>BS31+BS32+BS33+BS34</f>
        <v>276.772733828935</v>
      </c>
      <c r="BT30" s="37"/>
      <c r="BU30" s="38">
        <f t="shared" si="23"/>
        <v>3440.37430068531</v>
      </c>
      <c r="BV30" s="37"/>
      <c r="BW30" s="39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</row>
    <row r="31" ht="27" customHeight="1" spans="1:88">
      <c r="A31" s="45"/>
      <c r="B31" s="34" t="s">
        <v>294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-0.133977960328591</v>
      </c>
      <c r="Q31" s="127"/>
      <c r="R31" s="127"/>
      <c r="S31" s="131">
        <f t="shared" si="7"/>
        <v>809.8472</v>
      </c>
      <c r="T31" s="132">
        <f t="shared" si="8"/>
        <v>-0.264201433878614</v>
      </c>
      <c r="U31" s="36"/>
      <c r="V31" s="35">
        <f>班线包车!V22</f>
        <v>143.2257</v>
      </c>
      <c r="W31" s="36">
        <f t="shared" si="25"/>
        <v>0.00345682091579813</v>
      </c>
      <c r="X31" s="35">
        <f>班线包车!X22</f>
        <v>146.6432</v>
      </c>
      <c r="Y31" s="36">
        <f t="shared" si="26"/>
        <v>-0.0451928292056274</v>
      </c>
      <c r="Z31" s="35">
        <f>班线包车!Z22</f>
        <v>143.83</v>
      </c>
      <c r="AA31" s="36">
        <f t="shared" si="27"/>
        <v>0.0243878814123064</v>
      </c>
      <c r="AB31" s="35">
        <f>班线包车!AB22</f>
        <v>147.5729</v>
      </c>
      <c r="AC31" s="36">
        <f t="shared" si="28"/>
        <v>0.00614845051274582</v>
      </c>
      <c r="AD31" s="35">
        <f>班线包车!AD22</f>
        <v>143.9986</v>
      </c>
      <c r="AE31" s="36">
        <f t="shared" si="29"/>
        <v>-0.0278188295770092</v>
      </c>
      <c r="AF31" s="35">
        <f>班线包车!AF22</f>
        <v>126.5163</v>
      </c>
      <c r="AG31" s="36">
        <f t="shared" si="30"/>
        <v>-0.0280791325898009</v>
      </c>
      <c r="AH31" s="35">
        <f>班线包车!AH22</f>
        <v>124.775</v>
      </c>
      <c r="AI31" s="36">
        <f t="shared" si="31"/>
        <v>-0.00547179812133602</v>
      </c>
      <c r="AJ31" s="35">
        <f>班线包车!AJ22</f>
        <v>124.0754</v>
      </c>
      <c r="AK31" s="36">
        <f t="shared" si="32"/>
        <v>-0.0273966374644903</v>
      </c>
      <c r="AL31" s="35">
        <f>班线包车!AL22</f>
        <v>117.619</v>
      </c>
      <c r="AM31" s="36">
        <f t="shared" si="33"/>
        <v>9.94836204895044e-5</v>
      </c>
      <c r="AN31" s="35">
        <f>班线包车!AN22</f>
        <v>129.5702</v>
      </c>
      <c r="AO31" s="36">
        <f t="shared" si="34"/>
        <v>0.0401171364191353</v>
      </c>
      <c r="AP31" s="35">
        <f>班线包车!AP22</f>
        <v>114.6044</v>
      </c>
      <c r="AQ31" s="36">
        <f t="shared" si="35"/>
        <v>-0.0928078892603185</v>
      </c>
      <c r="AR31" s="35">
        <f>班线包车!AR22</f>
        <v>104.8242</v>
      </c>
      <c r="AS31" s="36">
        <f t="shared" si="36"/>
        <v>-0.164800650157759</v>
      </c>
      <c r="AT31" s="35">
        <f t="shared" si="21"/>
        <v>1567.2549</v>
      </c>
      <c r="AU31" s="36">
        <f t="shared" si="22"/>
        <v>-0.0257827218498242</v>
      </c>
      <c r="AV31" s="37"/>
      <c r="AW31" s="35">
        <v>142.7323</v>
      </c>
      <c r="AX31" s="36"/>
      <c r="AY31" s="35">
        <v>153.5841</v>
      </c>
      <c r="AZ31" s="36"/>
      <c r="BA31" s="35">
        <v>140.4058</v>
      </c>
      <c r="BB31" s="36"/>
      <c r="BC31" s="35">
        <v>146.6711</v>
      </c>
      <c r="BD31" s="36"/>
      <c r="BE31" s="35">
        <v>148.1191</v>
      </c>
      <c r="BF31" s="36"/>
      <c r="BG31" s="35">
        <v>130.1714</v>
      </c>
      <c r="BH31" s="36"/>
      <c r="BI31" s="35">
        <v>125.4615</v>
      </c>
      <c r="BJ31" s="36"/>
      <c r="BK31" s="35">
        <v>127.5704</v>
      </c>
      <c r="BL31" s="36"/>
      <c r="BM31" s="35">
        <v>117.6073</v>
      </c>
      <c r="BN31" s="36"/>
      <c r="BO31" s="35">
        <v>124.5727</v>
      </c>
      <c r="BP31" s="36"/>
      <c r="BQ31" s="35">
        <v>126.3287</v>
      </c>
      <c r="BR31" s="36"/>
      <c r="BS31" s="35">
        <v>125.508</v>
      </c>
      <c r="BT31" s="36"/>
      <c r="BU31" s="35">
        <f t="shared" si="23"/>
        <v>1608.7324</v>
      </c>
      <c r="BV31" s="36"/>
      <c r="BW31" s="40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7"/>
    </row>
    <row r="32" ht="27" customHeight="1" spans="1:88">
      <c r="A32" s="45"/>
      <c r="B32" s="34" t="s">
        <v>295</v>
      </c>
      <c r="C32" s="35">
        <f>公交!C25-公交!C27</f>
        <v>175.9</v>
      </c>
      <c r="D32" s="36">
        <f t="shared" si="0"/>
        <v>1.87136793992817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0.300614373481927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-0.0476378926539703</v>
      </c>
      <c r="M32" s="35">
        <f>公交!M25-公交!M27</f>
        <v>194.2</v>
      </c>
      <c r="N32" s="36">
        <f t="shared" si="5"/>
        <v>0.0445914689903728</v>
      </c>
      <c r="O32" s="35">
        <f>公交!O25-公交!O27</f>
        <v>173.01</v>
      </c>
      <c r="P32" s="36">
        <f t="shared" si="6"/>
        <v>-0.0744168628290182</v>
      </c>
      <c r="Q32" s="127"/>
      <c r="R32" s="127"/>
      <c r="S32" s="131">
        <f t="shared" si="7"/>
        <v>1292.65</v>
      </c>
      <c r="T32" s="132">
        <f t="shared" si="8"/>
        <v>0.106806175133358</v>
      </c>
      <c r="U32" s="36"/>
      <c r="V32" s="35">
        <f>公交!V25-公交!V27</f>
        <v>61.26</v>
      </c>
      <c r="W32" s="36">
        <f t="shared" si="25"/>
        <v>-0.209038089089735</v>
      </c>
      <c r="X32" s="35">
        <f>公交!X25-公交!X27</f>
        <v>62.21</v>
      </c>
      <c r="Y32" s="36">
        <f t="shared" si="26"/>
        <v>-0.166085790884717</v>
      </c>
      <c r="Z32" s="35">
        <f>公交!Z25-公交!Z27</f>
        <v>139.98</v>
      </c>
      <c r="AA32" s="36">
        <f t="shared" si="27"/>
        <v>1.08489722966935</v>
      </c>
      <c r="AB32" s="35">
        <f>公交!AB25-公交!AB27</f>
        <v>141.41</v>
      </c>
      <c r="AC32" s="36">
        <f t="shared" si="28"/>
        <v>1.13739419588875</v>
      </c>
      <c r="AD32" s="35">
        <f>公交!AD25-公交!AD27</f>
        <v>202.15</v>
      </c>
      <c r="AE32" s="36">
        <f t="shared" si="29"/>
        <v>2.12104369306777</v>
      </c>
      <c r="AF32" s="35">
        <f>公交!AF25-公交!AF27</f>
        <v>185.91</v>
      </c>
      <c r="AG32" s="36">
        <f t="shared" si="30"/>
        <v>1.8787550325178</v>
      </c>
      <c r="AH32" s="35">
        <f>公交!AH25-公交!AH27</f>
        <v>186.92</v>
      </c>
      <c r="AI32" s="36">
        <f t="shared" si="31"/>
        <v>1.86335784313725</v>
      </c>
      <c r="AJ32" s="35">
        <f>公交!AJ25-公交!AJ27</f>
        <v>188.07</v>
      </c>
      <c r="AK32" s="36">
        <f t="shared" si="32"/>
        <v>2.03436592449177</v>
      </c>
      <c r="AL32" s="35">
        <f>公交!AL25-公交!AL27</f>
        <v>179.2</v>
      </c>
      <c r="AM32" s="36">
        <f t="shared" si="33"/>
        <v>1.9649238914626</v>
      </c>
      <c r="AN32" s="35">
        <f>公交!AN25-公交!AN27</f>
        <v>195.46</v>
      </c>
      <c r="AO32" s="36">
        <f t="shared" si="34"/>
        <v>2.06796421283943</v>
      </c>
      <c r="AP32" s="35">
        <f>公交!AP25-公交!AP27</f>
        <v>177.11</v>
      </c>
      <c r="AQ32" s="36">
        <f t="shared" si="35"/>
        <v>2.04103708791209</v>
      </c>
      <c r="AR32" s="35">
        <f>公交!AR25-公交!AR27</f>
        <v>174.37</v>
      </c>
      <c r="AS32" s="36">
        <f t="shared" si="36"/>
        <v>2.00689774098984</v>
      </c>
      <c r="AT32" s="35">
        <f t="shared" si="21"/>
        <v>1894.05</v>
      </c>
      <c r="AU32" s="36">
        <f t="shared" si="22"/>
        <v>1.42100621213283</v>
      </c>
      <c r="AV32" s="37"/>
      <c r="AW32" s="35">
        <v>77.45</v>
      </c>
      <c r="AX32" s="36"/>
      <c r="AY32" s="35">
        <v>74.5999999999999</v>
      </c>
      <c r="AZ32" s="36"/>
      <c r="BA32" s="35">
        <v>67.1399999999999</v>
      </c>
      <c r="BB32" s="36"/>
      <c r="BC32" s="35">
        <v>66.1600000000001</v>
      </c>
      <c r="BD32" s="36"/>
      <c r="BE32" s="35">
        <v>64.7700000000002</v>
      </c>
      <c r="BF32" s="36"/>
      <c r="BG32" s="35">
        <v>64.5800000000002</v>
      </c>
      <c r="BH32" s="36"/>
      <c r="BI32" s="35">
        <v>65.2800000000002</v>
      </c>
      <c r="BJ32" s="36"/>
      <c r="BK32" s="35">
        <v>61.98</v>
      </c>
      <c r="BL32" s="36"/>
      <c r="BM32" s="35">
        <v>60.4400000000001</v>
      </c>
      <c r="BN32" s="36"/>
      <c r="BO32" s="35">
        <v>63.71</v>
      </c>
      <c r="BP32" s="36"/>
      <c r="BQ32" s="35">
        <v>58.24</v>
      </c>
      <c r="BR32" s="36"/>
      <c r="BS32" s="35">
        <v>57.9899999999998</v>
      </c>
      <c r="BT32" s="36"/>
      <c r="BU32" s="35">
        <f t="shared" si="23"/>
        <v>782.34</v>
      </c>
      <c r="BV32" s="36"/>
      <c r="BW32" s="40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7"/>
    </row>
    <row r="33" ht="27" customHeight="1" spans="1:88">
      <c r="A33" s="45"/>
      <c r="B33" s="34" t="s">
        <v>296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127"/>
      <c r="R33" s="127"/>
      <c r="S33" s="131">
        <f t="shared" si="7"/>
        <v>354.82</v>
      </c>
      <c r="T33" s="132">
        <f t="shared" si="8"/>
        <v>-0.208238496898291</v>
      </c>
      <c r="U33" s="36"/>
      <c r="V33" s="35">
        <f>出租!V25-出租!V27</f>
        <v>55.51</v>
      </c>
      <c r="W33" s="36">
        <f t="shared" si="25"/>
        <v>-0.0215053763440861</v>
      </c>
      <c r="X33" s="35">
        <f>出租!X25-出租!X27</f>
        <v>55.28</v>
      </c>
      <c r="Y33" s="36">
        <f t="shared" si="26"/>
        <v>-0.0571379839672528</v>
      </c>
      <c r="Z33" s="35">
        <f>出租!Z25-出租!Z27</f>
        <v>56.72</v>
      </c>
      <c r="AA33" s="36">
        <f t="shared" si="27"/>
        <v>0.0493987049028684</v>
      </c>
      <c r="AB33" s="35">
        <f>出租!AB25-出租!AB27</f>
        <v>54</v>
      </c>
      <c r="AC33" s="36">
        <f t="shared" si="28"/>
        <v>0.00821508588498876</v>
      </c>
      <c r="AD33" s="35">
        <f>出租!AD25-出租!AD27</f>
        <v>58.07</v>
      </c>
      <c r="AE33" s="36">
        <f t="shared" si="29"/>
        <v>0.106516768292683</v>
      </c>
      <c r="AF33" s="35">
        <f>出租!AF25-出租!AF27</f>
        <v>57.76</v>
      </c>
      <c r="AG33" s="36">
        <f t="shared" si="30"/>
        <v>0.0266619267685753</v>
      </c>
      <c r="AH33" s="35">
        <f>出租!AH25-出租!AH27</f>
        <v>56.57</v>
      </c>
      <c r="AI33" s="36">
        <f t="shared" si="31"/>
        <v>-0.0329914529914531</v>
      </c>
      <c r="AJ33" s="35">
        <f>出租!AJ25-出租!AJ27</f>
        <v>54.23</v>
      </c>
      <c r="AK33" s="36">
        <f t="shared" si="32"/>
        <v>-0.0514255728528946</v>
      </c>
      <c r="AL33" s="35">
        <f>出租!AL25-出租!AL27</f>
        <v>53.58</v>
      </c>
      <c r="AM33" s="36">
        <f t="shared" si="33"/>
        <v>-0.0254638050200064</v>
      </c>
      <c r="AN33" s="35">
        <f>出租!AN25-出租!AN27</f>
        <v>54.34</v>
      </c>
      <c r="AO33" s="36">
        <f t="shared" si="34"/>
        <v>-0.0310271041369476</v>
      </c>
      <c r="AP33" s="35">
        <f>出租!AP25-出租!AP27</f>
        <v>53.62</v>
      </c>
      <c r="AQ33" s="36">
        <f t="shared" si="35"/>
        <v>0.0111257778615879</v>
      </c>
      <c r="AR33" s="35">
        <f>出租!AR25-出租!AR27</f>
        <v>54.3</v>
      </c>
      <c r="AS33" s="36">
        <f t="shared" si="36"/>
        <v>0.0325156873930406</v>
      </c>
      <c r="AT33" s="35">
        <f t="shared" si="21"/>
        <v>663.98</v>
      </c>
      <c r="AU33" s="36">
        <f t="shared" si="22"/>
        <v>-0.000120471041773373</v>
      </c>
      <c r="AV33" s="37"/>
      <c r="AW33" s="35">
        <v>56.73</v>
      </c>
      <c r="AX33" s="36"/>
      <c r="AY33" s="35">
        <v>58.63</v>
      </c>
      <c r="AZ33" s="36"/>
      <c r="BA33" s="35">
        <v>54.05</v>
      </c>
      <c r="BB33" s="36"/>
      <c r="BC33" s="35">
        <v>53.56</v>
      </c>
      <c r="BD33" s="36"/>
      <c r="BE33" s="35">
        <v>52.48</v>
      </c>
      <c r="BF33" s="36"/>
      <c r="BG33" s="35">
        <v>56.26</v>
      </c>
      <c r="BH33" s="36"/>
      <c r="BI33" s="35">
        <v>58.5</v>
      </c>
      <c r="BJ33" s="36"/>
      <c r="BK33" s="35">
        <v>57.17</v>
      </c>
      <c r="BL33" s="36"/>
      <c r="BM33" s="35">
        <v>54.98</v>
      </c>
      <c r="BN33" s="36"/>
      <c r="BO33" s="35">
        <v>56.08</v>
      </c>
      <c r="BP33" s="36"/>
      <c r="BQ33" s="35">
        <v>53.03</v>
      </c>
      <c r="BR33" s="36"/>
      <c r="BS33" s="35">
        <v>52.59</v>
      </c>
      <c r="BT33" s="36"/>
      <c r="BU33" s="35">
        <f t="shared" si="23"/>
        <v>664.06</v>
      </c>
      <c r="BV33" s="36"/>
      <c r="BW33" s="40"/>
      <c r="BX33" s="49"/>
      <c r="BY33" s="49"/>
      <c r="BZ33" s="49"/>
      <c r="CA33" s="49"/>
      <c r="CB33" s="49"/>
      <c r="CC33" s="49"/>
      <c r="CD33" s="50"/>
      <c r="CE33" s="49"/>
      <c r="CF33" s="50"/>
      <c r="CG33" s="50"/>
      <c r="CH33" s="50"/>
      <c r="CI33" s="50"/>
      <c r="CJ33" s="47"/>
    </row>
    <row r="34" ht="27" customHeight="1" spans="1:88">
      <c r="A34" s="29"/>
      <c r="B34" s="34" t="s">
        <v>297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127"/>
      <c r="R34" s="127"/>
      <c r="S34" s="131">
        <f t="shared" si="7"/>
        <v>435.794136113038</v>
      </c>
      <c r="T34" s="132">
        <f t="shared" si="8"/>
        <v>0.0914414388258793</v>
      </c>
      <c r="U34" s="36"/>
      <c r="V34" s="35">
        <f>网约车!V25-网约车!V27</f>
        <v>41.965313532482</v>
      </c>
      <c r="W34" s="36">
        <f t="shared" si="25"/>
        <v>0.365283900656695</v>
      </c>
      <c r="X34" s="35">
        <f>网约车!X25-网约车!X27</f>
        <v>42.246312350119</v>
      </c>
      <c r="Y34" s="36">
        <f t="shared" si="26"/>
        <v>0.893045269545134</v>
      </c>
      <c r="Z34" s="35">
        <f>网约车!Z25-网约车!Z27</f>
        <v>41.737777544685</v>
      </c>
      <c r="AA34" s="36">
        <f t="shared" si="27"/>
        <v>0.678122641517901</v>
      </c>
      <c r="AB34" s="35">
        <f>网约车!AB25-网约车!AB27</f>
        <v>47.719635497264</v>
      </c>
      <c r="AC34" s="36">
        <f t="shared" si="28"/>
        <v>0.719514808374554</v>
      </c>
      <c r="AD34" s="35">
        <f>网约车!AD25-网约车!AD27</f>
        <v>55.228604779276</v>
      </c>
      <c r="AE34" s="36">
        <f t="shared" si="29"/>
        <v>0.955008056276633</v>
      </c>
      <c r="AF34" s="35">
        <f>网约车!AF25-网约车!AF27</f>
        <v>50.625695277591</v>
      </c>
      <c r="AG34" s="36">
        <f t="shared" si="30"/>
        <v>0.67772392666278</v>
      </c>
      <c r="AH34" s="35">
        <f>网约车!AH25-网约车!AH27</f>
        <v>59.501024905848</v>
      </c>
      <c r="AI34" s="36">
        <f t="shared" si="31"/>
        <v>0.65979621952267</v>
      </c>
      <c r="AJ34" s="35">
        <f>网约车!AJ25-网约车!AJ27</f>
        <v>60.258749810383</v>
      </c>
      <c r="AK34" s="36">
        <f t="shared" si="32"/>
        <v>0.672114003514092</v>
      </c>
      <c r="AL34" s="35">
        <f>网约车!AL25-网约车!AL27</f>
        <v>60.802082297246</v>
      </c>
      <c r="AM34" s="36">
        <f t="shared" si="33"/>
        <v>0.772290323288908</v>
      </c>
      <c r="AN34" s="35">
        <f>网约车!AN25-网约车!AN27</f>
        <v>65.5719016148</v>
      </c>
      <c r="AO34" s="36">
        <f t="shared" si="34"/>
        <v>0.768832730914437</v>
      </c>
      <c r="AP34" s="35">
        <f>网约车!AP25-网约车!AP27</f>
        <v>57.693439057959</v>
      </c>
      <c r="AQ34" s="36">
        <f t="shared" si="35"/>
        <v>0.551275680485982</v>
      </c>
      <c r="AR34" s="35">
        <f>网约车!AR25-网约车!AR27</f>
        <v>60.569812180386</v>
      </c>
      <c r="AS34" s="36">
        <f t="shared" si="36"/>
        <v>0.488760192829573</v>
      </c>
      <c r="AT34" s="35">
        <f t="shared" si="21"/>
        <v>643.920348848039</v>
      </c>
      <c r="AU34" s="36">
        <f t="shared" si="22"/>
        <v>0.671470179392658</v>
      </c>
      <c r="AV34" s="37"/>
      <c r="AW34" s="35">
        <v>30.7374264885837</v>
      </c>
      <c r="AX34" s="36"/>
      <c r="AY34" s="35">
        <v>22.3165885305374</v>
      </c>
      <c r="AZ34" s="36"/>
      <c r="BA34" s="35">
        <v>24.8717087250144</v>
      </c>
      <c r="BB34" s="36"/>
      <c r="BC34" s="35">
        <v>27.7518025810857</v>
      </c>
      <c r="BD34" s="36"/>
      <c r="BE34" s="35">
        <v>28.249809304858</v>
      </c>
      <c r="BF34" s="36"/>
      <c r="BG34" s="35">
        <v>30.1752239883068</v>
      </c>
      <c r="BH34" s="36"/>
      <c r="BI34" s="35">
        <v>35.8483916314495</v>
      </c>
      <c r="BJ34" s="36"/>
      <c r="BK34" s="35">
        <v>36.0374649597719</v>
      </c>
      <c r="BL34" s="36"/>
      <c r="BM34" s="35">
        <v>34.307066679918</v>
      </c>
      <c r="BN34" s="36"/>
      <c r="BO34" s="35">
        <v>37.0707192764921</v>
      </c>
      <c r="BP34" s="36"/>
      <c r="BQ34" s="35">
        <v>37.190964690354</v>
      </c>
      <c r="BR34" s="36"/>
      <c r="BS34" s="35">
        <v>40.6847338289356</v>
      </c>
      <c r="BT34" s="36"/>
      <c r="BU34" s="35">
        <f t="shared" si="23"/>
        <v>385.241900685307</v>
      </c>
      <c r="BV34" s="36"/>
      <c r="BW34" s="40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7"/>
    </row>
    <row r="35" s="15" customFormat="1" ht="27" customHeight="1" spans="1:88">
      <c r="A35" s="48" t="s">
        <v>98</v>
      </c>
      <c r="B35" s="34" t="s">
        <v>293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0.0776190759833795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-0.0660222236371721</v>
      </c>
      <c r="M35" s="35">
        <f>M36+M37+M38+M39</f>
        <v>66.4684547350712</v>
      </c>
      <c r="N35" s="36">
        <f t="shared" si="5"/>
        <v>-0.0956331784822932</v>
      </c>
      <c r="O35" s="35">
        <f>O36+O37+O38+O39</f>
        <v>65.5294100291266</v>
      </c>
      <c r="P35" s="36">
        <f t="shared" si="6"/>
        <v>-0.133183041663628</v>
      </c>
      <c r="Q35" s="127"/>
      <c r="R35" s="127"/>
      <c r="S35" s="131">
        <f t="shared" si="7"/>
        <v>520.931539474449</v>
      </c>
      <c r="T35" s="132">
        <f t="shared" si="8"/>
        <v>-0.108773558936779</v>
      </c>
      <c r="U35" s="36"/>
      <c r="V35" s="35">
        <f>V36+V37+V38+V39</f>
        <v>74.0289035376856</v>
      </c>
      <c r="W35" s="36">
        <f t="shared" si="25"/>
        <v>0.106333721926377</v>
      </c>
      <c r="X35" s="35">
        <f>X36+X37+X38+X39</f>
        <v>69.6268175123454</v>
      </c>
      <c r="Y35" s="36">
        <f t="shared" si="26"/>
        <v>0.0389063135550056</v>
      </c>
      <c r="Z35" s="35">
        <f>Z36+Z37+Z38+Z39</f>
        <v>71.4068236007157</v>
      </c>
      <c r="AA35" s="36">
        <f t="shared" si="27"/>
        <v>0.0145530473377102</v>
      </c>
      <c r="AB35" s="35">
        <f>AB36+AB37+AB38+AB39</f>
        <v>73.2671444402498</v>
      </c>
      <c r="AC35" s="36">
        <f t="shared" si="28"/>
        <v>0.00874062952378774</v>
      </c>
      <c r="AD35" s="35">
        <f>AD36+AD37+AD38+AD39</f>
        <v>73.1341249254508</v>
      </c>
      <c r="AE35" s="36">
        <f t="shared" si="29"/>
        <v>-0.00281089442583171</v>
      </c>
      <c r="AF35" s="35">
        <f>AF36+AF37+AF38+AF39</f>
        <v>73.4972282856684</v>
      </c>
      <c r="AG35" s="36">
        <f t="shared" si="30"/>
        <v>-0.0284388126955896</v>
      </c>
      <c r="AH35" s="35">
        <f>AH36+AH37+AH38+AH39</f>
        <v>75.5977480584749</v>
      </c>
      <c r="AI35" s="36">
        <f t="shared" si="31"/>
        <v>0.0443254675194946</v>
      </c>
      <c r="AJ35" s="35">
        <f>AJ36+AJ37+AJ38+AJ39</f>
        <v>73.9520763199187</v>
      </c>
      <c r="AK35" s="36">
        <f t="shared" si="32"/>
        <v>0.0401203807366828</v>
      </c>
      <c r="AL35" s="35">
        <f>AL36+AL37+AL38+AL39</f>
        <v>74.4564371894974</v>
      </c>
      <c r="AM35" s="36">
        <f t="shared" si="33"/>
        <v>0.0553606560131741</v>
      </c>
      <c r="AN35" s="35">
        <f>AN36+AN37+AN38+AN39</f>
        <v>74.1898326380197</v>
      </c>
      <c r="AO35" s="36">
        <f t="shared" si="34"/>
        <v>-0.0166830563496644</v>
      </c>
      <c r="AP35" s="35">
        <f>AP36+AP37+AP38+AP39</f>
        <v>80.3566448933362</v>
      </c>
      <c r="AQ35" s="36">
        <f t="shared" si="35"/>
        <v>0.0310286784451956</v>
      </c>
      <c r="AR35" s="35">
        <f>AR36+AR37+AR38+AR39</f>
        <v>95.231749070143</v>
      </c>
      <c r="AS35" s="36">
        <f t="shared" si="36"/>
        <v>0.25284806908212</v>
      </c>
      <c r="AT35" s="35">
        <f t="shared" si="21"/>
        <v>908.745530471506</v>
      </c>
      <c r="AU35" s="36">
        <f t="shared" si="22"/>
        <v>0.0452858463745127</v>
      </c>
      <c r="AV35" s="37"/>
      <c r="AW35" s="38">
        <f>AW36+AW37+AW38+AW39</f>
        <v>66.9137187726544</v>
      </c>
      <c r="AX35" s="37"/>
      <c r="AY35" s="38">
        <f>AY36+AY37+AY38+AY39</f>
        <v>67.0193419790581</v>
      </c>
      <c r="AZ35" s="37"/>
      <c r="BA35" s="38">
        <f>BA36+BA37+BA38+BA39</f>
        <v>70.3825431189571</v>
      </c>
      <c r="BB35" s="37"/>
      <c r="BC35" s="38">
        <f>BC36+BC37+BC38+BC39</f>
        <v>72.6322924802168</v>
      </c>
      <c r="BD35" s="37"/>
      <c r="BE35" s="38">
        <f>BE36+BE37+BE38+BE39</f>
        <v>73.340276700417</v>
      </c>
      <c r="BF35" s="37"/>
      <c r="BG35" s="38">
        <f>BG36+BG37+BG38+BG39</f>
        <v>75.6485842024895</v>
      </c>
      <c r="BH35" s="37"/>
      <c r="BI35" s="38">
        <f>BI36+BI37+BI38+BI39</f>
        <v>72.3890687431346</v>
      </c>
      <c r="BJ35" s="37"/>
      <c r="BK35" s="38">
        <f>BK36+BK37+BK38+BK39</f>
        <v>71.0995358705892</v>
      </c>
      <c r="BL35" s="37"/>
      <c r="BM35" s="38">
        <f>BM36+BM37+BM38+BM39</f>
        <v>70.5507039373353</v>
      </c>
      <c r="BN35" s="37"/>
      <c r="BO35" s="38">
        <f>BO36+BO37+BO38+BO39</f>
        <v>75.4485449651739</v>
      </c>
      <c r="BP35" s="37"/>
      <c r="BQ35" s="38">
        <f>BQ36+BQ37+BQ38+BQ39</f>
        <v>77.9383217686195</v>
      </c>
      <c r="BR35" s="37"/>
      <c r="BS35" s="38">
        <f>BS36+BS37+BS38+BS39</f>
        <v>76.0122088386289</v>
      </c>
      <c r="BT35" s="37"/>
      <c r="BU35" s="38">
        <f t="shared" si="23"/>
        <v>869.375141377274</v>
      </c>
      <c r="BV35" s="37"/>
      <c r="BW35" s="39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</row>
    <row r="36" ht="27" customHeight="1" spans="1:88">
      <c r="A36" s="45"/>
      <c r="B36" s="34" t="s">
        <v>294</v>
      </c>
      <c r="C36" s="35">
        <f>班线包车!C26</f>
        <v>58.6181</v>
      </c>
      <c r="D36" s="36">
        <f t="shared" si="0"/>
        <v>0.0612934004674766</v>
      </c>
      <c r="E36" s="35">
        <f>班线包车!E26</f>
        <v>51.2609</v>
      </c>
      <c r="F36" s="36">
        <f t="shared" si="1"/>
        <v>-0.00459633070278997</v>
      </c>
      <c r="G36" s="35">
        <f>班线包车!G26</f>
        <v>51.4017</v>
      </c>
      <c r="H36" s="36">
        <f t="shared" si="2"/>
        <v>-0.0202014810861298</v>
      </c>
      <c r="I36" s="35">
        <f>班线包车!I26</f>
        <v>51.5443</v>
      </c>
      <c r="J36" s="36">
        <f t="shared" si="3"/>
        <v>-0.0244750414005205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-0.0202443059166039</v>
      </c>
      <c r="Q36" s="127"/>
      <c r="R36" s="127"/>
      <c r="S36" s="131">
        <f t="shared" si="7"/>
        <v>364.0782</v>
      </c>
      <c r="T36" s="132">
        <f t="shared" si="8"/>
        <v>-0.130287652904514</v>
      </c>
      <c r="U36" s="36"/>
      <c r="V36" s="35">
        <f>班线包车!V26</f>
        <v>55.2327</v>
      </c>
      <c r="W36" s="36">
        <f t="shared" si="25"/>
        <v>0.178332792872747</v>
      </c>
      <c r="X36" s="35">
        <f>班线包车!X26</f>
        <v>51.4976</v>
      </c>
      <c r="Y36" s="36">
        <f t="shared" si="26"/>
        <v>0.101392738596311</v>
      </c>
      <c r="Z36" s="35">
        <f>班线包车!Z26</f>
        <v>52.4615</v>
      </c>
      <c r="AA36" s="36">
        <f t="shared" si="27"/>
        <v>0.0501247062497248</v>
      </c>
      <c r="AB36" s="35">
        <f>班线包车!AB26</f>
        <v>52.8375</v>
      </c>
      <c r="AC36" s="36">
        <f t="shared" si="28"/>
        <v>0.0461421189142099</v>
      </c>
      <c r="AD36" s="35">
        <f>班线包车!AD26</f>
        <v>53.0121</v>
      </c>
      <c r="AE36" s="36">
        <f t="shared" si="29"/>
        <v>0.0182611301271192</v>
      </c>
      <c r="AF36" s="35">
        <f>班线包车!AF26</f>
        <v>54.2703</v>
      </c>
      <c r="AG36" s="36">
        <f t="shared" si="30"/>
        <v>-0.0448884125383442</v>
      </c>
      <c r="AH36" s="35">
        <f>班线包车!AH26</f>
        <v>50.3549</v>
      </c>
      <c r="AI36" s="36">
        <f t="shared" si="31"/>
        <v>-0.0697001160221403</v>
      </c>
      <c r="AJ36" s="35">
        <f>班线包车!AJ26</f>
        <v>48.9525</v>
      </c>
      <c r="AK36" s="36">
        <f t="shared" si="32"/>
        <v>-0.091087167623189</v>
      </c>
      <c r="AL36" s="35">
        <f>班线包车!AL26</f>
        <v>49.2128</v>
      </c>
      <c r="AM36" s="36">
        <f t="shared" si="33"/>
        <v>-0.0659261818085191</v>
      </c>
      <c r="AN36" s="35">
        <f>班线包车!AN26</f>
        <v>49.5826</v>
      </c>
      <c r="AO36" s="36">
        <f t="shared" si="34"/>
        <v>-0.11487935106457</v>
      </c>
      <c r="AP36" s="35">
        <f>班线包车!AP26</f>
        <v>52.5038</v>
      </c>
      <c r="AQ36" s="36">
        <f t="shared" si="35"/>
        <v>-0.141501397207547</v>
      </c>
      <c r="AR36" s="35">
        <f>班线包车!AR26</f>
        <v>60.2661</v>
      </c>
      <c r="AS36" s="36">
        <f t="shared" si="36"/>
        <v>0.0350216137214929</v>
      </c>
      <c r="AT36" s="35">
        <f t="shared" si="21"/>
        <v>630.1844</v>
      </c>
      <c r="AU36" s="36">
        <f t="shared" si="22"/>
        <v>-0.013875716158802</v>
      </c>
      <c r="AV36" s="37"/>
      <c r="AW36" s="35">
        <v>46.8736</v>
      </c>
      <c r="AX36" s="36"/>
      <c r="AY36" s="35">
        <v>46.7568</v>
      </c>
      <c r="AZ36" s="36"/>
      <c r="BA36" s="35">
        <v>49.9574</v>
      </c>
      <c r="BB36" s="36"/>
      <c r="BC36" s="35">
        <v>50.507</v>
      </c>
      <c r="BD36" s="36"/>
      <c r="BE36" s="35">
        <v>52.0614</v>
      </c>
      <c r="BF36" s="36"/>
      <c r="BG36" s="35">
        <v>56.8209</v>
      </c>
      <c r="BH36" s="36"/>
      <c r="BI36" s="35">
        <v>54.1276</v>
      </c>
      <c r="BJ36" s="36"/>
      <c r="BK36" s="35">
        <v>53.8583</v>
      </c>
      <c r="BL36" s="36"/>
      <c r="BM36" s="35">
        <v>52.6862</v>
      </c>
      <c r="BN36" s="36"/>
      <c r="BO36" s="35">
        <v>56.0179</v>
      </c>
      <c r="BP36" s="36"/>
      <c r="BQ36" s="35">
        <v>61.1577</v>
      </c>
      <c r="BR36" s="36"/>
      <c r="BS36" s="35">
        <v>58.2269</v>
      </c>
      <c r="BT36" s="36"/>
      <c r="BU36" s="35">
        <f t="shared" si="23"/>
        <v>639.0517</v>
      </c>
      <c r="BV36" s="36"/>
      <c r="BW36" s="40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7"/>
    </row>
    <row r="37" ht="27" customHeight="1" spans="1:88">
      <c r="A37" s="45"/>
      <c r="B37" s="34" t="s">
        <v>295</v>
      </c>
      <c r="C37" s="35">
        <f>公交!C29-公交!C31</f>
        <v>15.76</v>
      </c>
      <c r="D37" s="36">
        <f t="shared" ref="D37:D68" si="37">C37/V37-1</f>
        <v>-0.0186799501867985</v>
      </c>
      <c r="E37" s="35">
        <f>公交!E29-公交!E31</f>
        <v>15.72</v>
      </c>
      <c r="F37" s="36">
        <f t="shared" ref="F37:F68" si="38">E37/X37-1</f>
        <v>-0.000635727908456452</v>
      </c>
      <c r="G37" s="35">
        <f>公交!G29-公交!G31</f>
        <v>16.14</v>
      </c>
      <c r="H37" s="36">
        <f t="shared" ref="H37:H68" si="39">G37/Z37-1</f>
        <v>0.0286806883365212</v>
      </c>
      <c r="I37" s="35">
        <f>公交!I29-公交!I31</f>
        <v>16.81</v>
      </c>
      <c r="J37" s="36">
        <f t="shared" ref="J37:J68" si="40">I37/AB37-1</f>
        <v>0.000595238095237649</v>
      </c>
      <c r="K37" s="35">
        <f>公交!K29-公交!K31</f>
        <v>11.82</v>
      </c>
      <c r="L37" s="36">
        <f t="shared" ref="L37:L68" si="41">K37/AD37-1</f>
        <v>-0.296009529481834</v>
      </c>
      <c r="M37" s="35">
        <f>公交!M29-公交!M31</f>
        <v>11.38</v>
      </c>
      <c r="N37" s="36">
        <f t="shared" ref="N37:N68" si="42">M37/AF37-1</f>
        <v>-0.2896379525593</v>
      </c>
      <c r="O37" s="35">
        <f>公交!O29-公交!O31</f>
        <v>11.23</v>
      </c>
      <c r="P37" s="36">
        <f t="shared" ref="P37:P68" si="43">O37/AH37-1</f>
        <v>-0.311042944785275</v>
      </c>
      <c r="Q37" s="127"/>
      <c r="R37" s="127"/>
      <c r="S37" s="131">
        <f t="shared" ref="S37:S68" si="44">E37+C37+G37+I37+K37+M37+O37+Q37</f>
        <v>98.8600000000001</v>
      </c>
      <c r="T37" s="132">
        <f t="shared" ref="T37:T68" si="45">S37/SUM(V37,X37,Z37,AB37,AD37,AF37,AH37,AJ37)-1</f>
        <v>-0.235539746365604</v>
      </c>
      <c r="U37" s="36"/>
      <c r="V37" s="35">
        <f>公交!V29-公交!V31</f>
        <v>16.06</v>
      </c>
      <c r="W37" s="36">
        <f t="shared" si="25"/>
        <v>-0.0248937462052214</v>
      </c>
      <c r="X37" s="35">
        <f>公交!X29-公交!X31</f>
        <v>15.73</v>
      </c>
      <c r="Y37" s="36">
        <f t="shared" si="26"/>
        <v>-0.112803158488437</v>
      </c>
      <c r="Z37" s="35">
        <f>公交!Z29-公交!Z31</f>
        <v>15.69</v>
      </c>
      <c r="AA37" s="36">
        <f t="shared" si="27"/>
        <v>-0.0867287543655414</v>
      </c>
      <c r="AB37" s="35">
        <f>公交!AB29-公交!AB31</f>
        <v>16.8</v>
      </c>
      <c r="AC37" s="36">
        <f t="shared" si="28"/>
        <v>-0.125455491931285</v>
      </c>
      <c r="AD37" s="35">
        <f>公交!AD29-公交!AD31</f>
        <v>16.79</v>
      </c>
      <c r="AE37" s="36">
        <f t="shared" si="29"/>
        <v>-0.0519480519480509</v>
      </c>
      <c r="AF37" s="35">
        <f>公交!AF29-公交!AF31</f>
        <v>16.02</v>
      </c>
      <c r="AG37" s="36">
        <f t="shared" si="30"/>
        <v>-0.0290909090909085</v>
      </c>
      <c r="AH37" s="35">
        <f>公交!AH29-公交!AH31</f>
        <v>16.3</v>
      </c>
      <c r="AI37" s="36">
        <f t="shared" si="31"/>
        <v>0.00803957946815159</v>
      </c>
      <c r="AJ37" s="35">
        <f>公交!AJ29-公交!AJ31</f>
        <v>15.93</v>
      </c>
      <c r="AK37" s="36">
        <f t="shared" si="32"/>
        <v>0.0120711562897082</v>
      </c>
      <c r="AL37" s="35">
        <f>公交!AL29-公交!AL31</f>
        <v>15.6</v>
      </c>
      <c r="AM37" s="36">
        <f t="shared" si="33"/>
        <v>0</v>
      </c>
      <c r="AN37" s="35">
        <f>公交!AN29-公交!AN31</f>
        <v>15.79</v>
      </c>
      <c r="AO37" s="36">
        <f t="shared" si="34"/>
        <v>-0.0407047387606324</v>
      </c>
      <c r="AP37" s="35">
        <f>公交!AP29-公交!AP31</f>
        <v>15.19</v>
      </c>
      <c r="AQ37" s="36">
        <f t="shared" si="35"/>
        <v>0.00596026490066204</v>
      </c>
      <c r="AR37" s="35">
        <f>公交!AR29-公交!AR31</f>
        <v>15.34</v>
      </c>
      <c r="AS37" s="36">
        <f t="shared" si="36"/>
        <v>0</v>
      </c>
      <c r="AT37" s="35">
        <f t="shared" ref="AT37:AT68" si="46">X37+V37+Z37+AB37+AD37+AF37+AH37+AJ37+AL37+AN37+AP37+AR37</f>
        <v>191.24</v>
      </c>
      <c r="AU37" s="36">
        <f t="shared" ref="AU37:AU68" si="47">AT37/SUM(AW37,AY37,BA37,BC37,BE37,BG37,BI37,BK37,BM37,BO37,BQ37,BS37)-1</f>
        <v>-0.0400080317253148</v>
      </c>
      <c r="AV37" s="37"/>
      <c r="AW37" s="35">
        <v>16.47</v>
      </c>
      <c r="AX37" s="36"/>
      <c r="AY37" s="35">
        <v>17.73</v>
      </c>
      <c r="AZ37" s="36"/>
      <c r="BA37" s="35">
        <v>17.18</v>
      </c>
      <c r="BB37" s="36"/>
      <c r="BC37" s="35">
        <v>19.21</v>
      </c>
      <c r="BD37" s="36"/>
      <c r="BE37" s="35">
        <v>17.71</v>
      </c>
      <c r="BF37" s="36"/>
      <c r="BG37" s="35">
        <v>16.5</v>
      </c>
      <c r="BH37" s="36"/>
      <c r="BI37" s="35">
        <v>16.17</v>
      </c>
      <c r="BJ37" s="36"/>
      <c r="BK37" s="35">
        <v>15.74</v>
      </c>
      <c r="BL37" s="36"/>
      <c r="BM37" s="35">
        <v>15.6</v>
      </c>
      <c r="BN37" s="36"/>
      <c r="BO37" s="35">
        <v>16.46</v>
      </c>
      <c r="BP37" s="36"/>
      <c r="BQ37" s="35">
        <v>15.1</v>
      </c>
      <c r="BR37" s="36"/>
      <c r="BS37" s="35">
        <v>15.34</v>
      </c>
      <c r="BT37" s="36"/>
      <c r="BU37" s="35">
        <f t="shared" ref="BU37:BU68" si="48">AW37+AY37+BA37+BC37+BE37+BG37+BI37+BK37+BM37+BO37+BQ37+BS37</f>
        <v>199.21</v>
      </c>
      <c r="BV37" s="36"/>
      <c r="BW37" s="40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7"/>
    </row>
    <row r="38" ht="27" customHeight="1" spans="1:88">
      <c r="A38" s="45"/>
      <c r="B38" s="34" t="s">
        <v>296</v>
      </c>
      <c r="C38" s="35">
        <f>出租!C29-出租!C31</f>
        <v>8.08</v>
      </c>
      <c r="D38" s="36">
        <f t="shared" si="37"/>
        <v>3.32085561497325</v>
      </c>
      <c r="E38" s="35">
        <f>出租!E29-出租!E31</f>
        <v>5.12</v>
      </c>
      <c r="F38" s="36">
        <f t="shared" si="38"/>
        <v>6.75757575757563</v>
      </c>
      <c r="G38" s="35">
        <f>出租!G29-出租!G31</f>
        <v>3.34</v>
      </c>
      <c r="H38" s="36">
        <f t="shared" si="39"/>
        <v>3.22784810126586</v>
      </c>
      <c r="I38" s="35">
        <f>出租!I29-出租!I31</f>
        <v>3.26</v>
      </c>
      <c r="J38" s="36">
        <f t="shared" si="40"/>
        <v>2.7906976744186</v>
      </c>
      <c r="K38" s="35">
        <f>出租!K29-出租!K31</f>
        <v>1.19</v>
      </c>
      <c r="L38" s="36">
        <f t="shared" si="41"/>
        <v>0.322222222222219</v>
      </c>
      <c r="M38" s="35">
        <f>出租!M29-出租!M31</f>
        <v>1.15</v>
      </c>
      <c r="N38" s="36">
        <f t="shared" si="42"/>
        <v>0.337209302325581</v>
      </c>
      <c r="O38" s="35">
        <f>出租!O29-出租!O31</f>
        <v>1.12</v>
      </c>
      <c r="P38" s="36">
        <f t="shared" si="43"/>
        <v>-0.748878923766816</v>
      </c>
      <c r="Q38" s="127"/>
      <c r="R38" s="127"/>
      <c r="S38" s="131">
        <f t="shared" si="44"/>
        <v>23.26</v>
      </c>
      <c r="T38" s="132">
        <f t="shared" si="45"/>
        <v>0.578018995929444</v>
      </c>
      <c r="U38" s="36"/>
      <c r="V38" s="35">
        <f>出租!V29-出租!V31</f>
        <v>1.87</v>
      </c>
      <c r="W38" s="36">
        <f t="shared" si="25"/>
        <v>0.106508875739648</v>
      </c>
      <c r="X38" s="35">
        <f>出租!X29-出租!X31</f>
        <v>0.660000000000011</v>
      </c>
      <c r="Y38" s="36">
        <f t="shared" si="26"/>
        <v>-0.547945205479448</v>
      </c>
      <c r="Z38" s="35">
        <f>出租!Z29-出租!Z31</f>
        <v>0.789999999999992</v>
      </c>
      <c r="AA38" s="36">
        <f t="shared" si="27"/>
        <v>-0.455172413793109</v>
      </c>
      <c r="AB38" s="35">
        <f>出租!AB29-出租!AB31</f>
        <v>0.859999999999999</v>
      </c>
      <c r="AC38" s="36">
        <f t="shared" si="28"/>
        <v>-0.203703703703704</v>
      </c>
      <c r="AD38" s="35">
        <f>出租!AD29-出租!AD31</f>
        <v>0.900000000000006</v>
      </c>
      <c r="AE38" s="36">
        <f t="shared" si="29"/>
        <v>-0.383561643835617</v>
      </c>
      <c r="AF38" s="35">
        <f>出租!AF29-出租!AF31</f>
        <v>0.859999999999999</v>
      </c>
      <c r="AG38" s="36">
        <f t="shared" si="30"/>
        <v>-0.188679245283019</v>
      </c>
      <c r="AH38" s="35">
        <f>出租!AH29-出租!AH31</f>
        <v>4.45999999999999</v>
      </c>
      <c r="AI38" s="36">
        <f t="shared" si="31"/>
        <v>4.30952380952387</v>
      </c>
      <c r="AJ38" s="35">
        <f>出租!AJ29-出租!AJ31</f>
        <v>4.33999999999999</v>
      </c>
      <c r="AK38" s="36">
        <f t="shared" si="32"/>
        <v>4.71052631578942</v>
      </c>
      <c r="AL38" s="35">
        <f>出租!AL29-出租!AL31</f>
        <v>4.68000000000001</v>
      </c>
      <c r="AM38" s="36">
        <f t="shared" si="33"/>
        <v>4.44186046511629</v>
      </c>
      <c r="AN38" s="35">
        <f>出租!AN29-出租!AN31</f>
        <v>4.28</v>
      </c>
      <c r="AO38" s="36">
        <f t="shared" si="34"/>
        <v>2.1240875912409</v>
      </c>
      <c r="AP38" s="35">
        <f>出租!AP29-出租!AP31</f>
        <v>7.04000000000001</v>
      </c>
      <c r="AQ38" s="36">
        <f t="shared" si="35"/>
        <v>11.5714285714285</v>
      </c>
      <c r="AR38" s="35">
        <f>出租!AR29-出租!AR31</f>
        <v>11.89</v>
      </c>
      <c r="AS38" s="36">
        <f t="shared" si="36"/>
        <v>9.90825688073405</v>
      </c>
      <c r="AT38" s="35">
        <f t="shared" si="46"/>
        <v>42.63</v>
      </c>
      <c r="AU38" s="36">
        <f t="shared" si="47"/>
        <v>2.11622807017544</v>
      </c>
      <c r="AV38" s="37"/>
      <c r="AW38" s="35">
        <v>1.69</v>
      </c>
      <c r="AX38" s="36"/>
      <c r="AY38" s="35">
        <v>1.46000000000001</v>
      </c>
      <c r="AZ38" s="36"/>
      <c r="BA38" s="35">
        <v>1.45</v>
      </c>
      <c r="BB38" s="36"/>
      <c r="BC38" s="35">
        <v>1.08</v>
      </c>
      <c r="BD38" s="36"/>
      <c r="BE38" s="35">
        <v>1.46000000000001</v>
      </c>
      <c r="BF38" s="36"/>
      <c r="BG38" s="35">
        <v>1.06</v>
      </c>
      <c r="BH38" s="36"/>
      <c r="BI38" s="35">
        <v>0.839999999999989</v>
      </c>
      <c r="BJ38" s="36"/>
      <c r="BK38" s="35">
        <v>0.760000000000005</v>
      </c>
      <c r="BL38" s="36"/>
      <c r="BM38" s="35">
        <v>0.859999999999999</v>
      </c>
      <c r="BN38" s="36"/>
      <c r="BO38" s="35">
        <v>1.36999999999999</v>
      </c>
      <c r="BP38" s="36"/>
      <c r="BQ38" s="35">
        <v>0.560000000000002</v>
      </c>
      <c r="BR38" s="36"/>
      <c r="BS38" s="35">
        <v>1.08999999999999</v>
      </c>
      <c r="BT38" s="36"/>
      <c r="BU38" s="35">
        <f t="shared" si="48"/>
        <v>13.68</v>
      </c>
      <c r="BV38" s="36"/>
      <c r="BW38" s="40"/>
      <c r="BX38" s="49"/>
      <c r="BY38" s="49"/>
      <c r="BZ38" s="49"/>
      <c r="CA38" s="49"/>
      <c r="CB38" s="49"/>
      <c r="CC38" s="49"/>
      <c r="CD38" s="50"/>
      <c r="CE38" s="49"/>
      <c r="CF38" s="50"/>
      <c r="CG38" s="50"/>
      <c r="CH38" s="50"/>
      <c r="CI38" s="50"/>
      <c r="CJ38" s="47"/>
    </row>
    <row r="39" ht="27" customHeight="1" spans="1:88">
      <c r="A39" s="29"/>
      <c r="B39" s="34" t="s">
        <v>297</v>
      </c>
      <c r="C39" s="35">
        <f>网约车!C29-网约车!C31</f>
        <v>6.2804285569001</v>
      </c>
      <c r="D39" s="36">
        <f t="shared" si="37"/>
        <v>6.25052286634699</v>
      </c>
      <c r="E39" s="35">
        <f>网约车!E29-网约车!E31</f>
        <v>5.2070710590833</v>
      </c>
      <c r="F39" s="36">
        <f t="shared" si="38"/>
        <v>1.99391595480279</v>
      </c>
      <c r="G39" s="35">
        <f>网约车!G29-网约车!G31</f>
        <v>6.0676552675114</v>
      </c>
      <c r="H39" s="36">
        <f t="shared" si="39"/>
        <v>1.46120033319355</v>
      </c>
      <c r="I39" s="35">
        <f>网约车!I29-网约车!I31</f>
        <v>6.0178724526427</v>
      </c>
      <c r="J39" s="36">
        <f t="shared" si="40"/>
        <v>1.17279603301712</v>
      </c>
      <c r="K39" s="35">
        <f>网约车!K29-网约车!K31</f>
        <v>3.5984473741138</v>
      </c>
      <c r="L39" s="36">
        <f t="shared" si="41"/>
        <v>0.479609578198217</v>
      </c>
      <c r="M39" s="35">
        <f>网约车!M29-网约车!M31</f>
        <v>3.7179547350712</v>
      </c>
      <c r="N39" s="36">
        <f t="shared" si="42"/>
        <v>0.584179098174847</v>
      </c>
      <c r="O39" s="35">
        <f>网约车!O29-网约车!O31</f>
        <v>3.8439100291266</v>
      </c>
      <c r="P39" s="36">
        <f t="shared" si="43"/>
        <v>-0.142529485945965</v>
      </c>
      <c r="Q39" s="127"/>
      <c r="R39" s="127"/>
      <c r="S39" s="131">
        <f t="shared" si="44"/>
        <v>34.7333394744491</v>
      </c>
      <c r="T39" s="132">
        <f t="shared" si="45"/>
        <v>0.590954134987982</v>
      </c>
      <c r="U39" s="36"/>
      <c r="V39" s="35">
        <f>网约车!V29-网约车!V31</f>
        <v>0.8662035376856</v>
      </c>
      <c r="W39" s="36">
        <f t="shared" si="25"/>
        <v>-0.539282544122106</v>
      </c>
      <c r="X39" s="35">
        <f>网约车!X29-网约车!X31</f>
        <v>1.7392175123454</v>
      </c>
      <c r="Y39" s="36">
        <f t="shared" si="26"/>
        <v>0.621584559210322</v>
      </c>
      <c r="Z39" s="35">
        <f>网约车!Z29-网约车!Z31</f>
        <v>2.4653236007157</v>
      </c>
      <c r="AA39" s="36">
        <f t="shared" si="27"/>
        <v>0.373329833527689</v>
      </c>
      <c r="AB39" s="35">
        <f>网约车!AB29-网约车!AB31</f>
        <v>2.7696444402498</v>
      </c>
      <c r="AC39" s="36">
        <f t="shared" si="28"/>
        <v>0.50910248372105</v>
      </c>
      <c r="AD39" s="35">
        <f>网约车!AD29-网约车!AD31</f>
        <v>2.4320249254508</v>
      </c>
      <c r="AE39" s="36">
        <f t="shared" si="29"/>
        <v>0.153232393799942</v>
      </c>
      <c r="AF39" s="35">
        <f>网约车!AF29-网约车!AF31</f>
        <v>2.3469282856684</v>
      </c>
      <c r="AG39" s="36">
        <f t="shared" si="30"/>
        <v>0.851350897218253</v>
      </c>
      <c r="AH39" s="35">
        <f>网约车!AH29-网约车!AH31</f>
        <v>4.4828480584749</v>
      </c>
      <c r="AI39" s="36">
        <f t="shared" si="31"/>
        <v>2.58206953475035</v>
      </c>
      <c r="AJ39" s="35">
        <f>网约车!AJ29-网约车!AJ31</f>
        <v>4.7295763199187</v>
      </c>
      <c r="AK39" s="36">
        <f t="shared" si="32"/>
        <v>5.38066303531583</v>
      </c>
      <c r="AL39" s="35">
        <f>网约车!AL29-网约车!AL31</f>
        <v>4.9636371894974</v>
      </c>
      <c r="AM39" s="36">
        <f t="shared" si="33"/>
        <v>2.53408563518494</v>
      </c>
      <c r="AN39" s="35">
        <f>网约车!AN29-网约车!AN31</f>
        <v>4.5372326380197</v>
      </c>
      <c r="AO39" s="36">
        <f t="shared" si="34"/>
        <v>1.83462775114956</v>
      </c>
      <c r="AP39" s="35">
        <f>网约车!AP29-网约车!AP31</f>
        <v>5.6228448933362</v>
      </c>
      <c r="AQ39" s="36">
        <f t="shared" si="35"/>
        <v>4.01761169628443</v>
      </c>
      <c r="AR39" s="35">
        <f>网约车!AR29-网约车!AR31</f>
        <v>7.735649070143</v>
      </c>
      <c r="AS39" s="36">
        <f t="shared" si="36"/>
        <v>4.70766518277045</v>
      </c>
      <c r="AT39" s="35">
        <f t="shared" si="46"/>
        <v>44.6911304715056</v>
      </c>
      <c r="AU39" s="36">
        <f t="shared" si="47"/>
        <v>1.56352888132367</v>
      </c>
      <c r="AV39" s="37"/>
      <c r="AW39" s="35">
        <v>1.88011877265439</v>
      </c>
      <c r="AX39" s="36"/>
      <c r="AY39" s="35">
        <v>1.07254197905804</v>
      </c>
      <c r="AZ39" s="36"/>
      <c r="BA39" s="35">
        <v>1.79514311895708</v>
      </c>
      <c r="BB39" s="36"/>
      <c r="BC39" s="35">
        <v>1.83529248021684</v>
      </c>
      <c r="BD39" s="36"/>
      <c r="BE39" s="35">
        <v>2.10887670041698</v>
      </c>
      <c r="BF39" s="36"/>
      <c r="BG39" s="35">
        <v>1.26768420248953</v>
      </c>
      <c r="BH39" s="36"/>
      <c r="BI39" s="35">
        <v>1.25146874313464</v>
      </c>
      <c r="BJ39" s="36"/>
      <c r="BK39" s="35">
        <v>0.741235870589207</v>
      </c>
      <c r="BL39" s="36"/>
      <c r="BM39" s="35">
        <v>1.40450393733531</v>
      </c>
      <c r="BN39" s="36"/>
      <c r="BO39" s="35">
        <v>1.60064496517388</v>
      </c>
      <c r="BP39" s="36"/>
      <c r="BQ39" s="35">
        <v>1.12062176861951</v>
      </c>
      <c r="BR39" s="36"/>
      <c r="BS39" s="35">
        <v>1.35530883862886</v>
      </c>
      <c r="BT39" s="36"/>
      <c r="BU39" s="35">
        <f t="shared" si="48"/>
        <v>17.4334413772743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7"/>
    </row>
    <row r="40" s="15" customFormat="1" ht="27" customHeight="1" spans="1:88">
      <c r="A40" s="48" t="s">
        <v>99</v>
      </c>
      <c r="B40" s="34" t="s">
        <v>293</v>
      </c>
      <c r="C40" s="35">
        <f>C41+C42+C43+C44</f>
        <v>100.628313877539</v>
      </c>
      <c r="D40" s="36">
        <f t="shared" si="37"/>
        <v>0.0251355100299206</v>
      </c>
      <c r="E40" s="35">
        <f>E41+E42+E43+E44</f>
        <v>102.001972121271</v>
      </c>
      <c r="F40" s="36">
        <f t="shared" si="38"/>
        <v>0.130200600410014</v>
      </c>
      <c r="G40" s="35">
        <f>G41+G42+G43+G44</f>
        <v>98.8750014992181</v>
      </c>
      <c r="H40" s="36">
        <f t="shared" si="39"/>
        <v>-0.0305427620999744</v>
      </c>
      <c r="I40" s="35">
        <f>I41+I42+I43+I44</f>
        <v>99.045389281469</v>
      </c>
      <c r="J40" s="36">
        <f t="shared" si="40"/>
        <v>-0.0266389416041233</v>
      </c>
      <c r="K40" s="35">
        <f>K41+K42+K43+K44</f>
        <v>98.946560096165</v>
      </c>
      <c r="L40" s="36">
        <f t="shared" si="41"/>
        <v>0.0762958820534392</v>
      </c>
      <c r="M40" s="35">
        <f>M41+M42+M43+M44</f>
        <v>90.009748921101</v>
      </c>
      <c r="N40" s="36">
        <f t="shared" si="42"/>
        <v>-0.00243221281067219</v>
      </c>
      <c r="O40" s="35">
        <f>O41+O42+O43+O44</f>
        <v>90.5951205189489</v>
      </c>
      <c r="P40" s="36">
        <f t="shared" si="43"/>
        <v>-0.0427475360246817</v>
      </c>
      <c r="Q40" s="127"/>
      <c r="R40" s="127"/>
      <c r="S40" s="131">
        <f t="shared" si="44"/>
        <v>680.102106315712</v>
      </c>
      <c r="T40" s="132">
        <f t="shared" si="45"/>
        <v>-0.112408019017533</v>
      </c>
      <c r="U40" s="36"/>
      <c r="V40" s="35">
        <f>V41+V42+V43+V44</f>
        <v>98.1609873943416</v>
      </c>
      <c r="W40" s="36">
        <f t="shared" si="25"/>
        <v>-0.0103041781614723</v>
      </c>
      <c r="X40" s="35">
        <f>X41+X42+X43+X44</f>
        <v>90.2512103464347</v>
      </c>
      <c r="Y40" s="36">
        <f t="shared" si="26"/>
        <v>-0.0116145636689</v>
      </c>
      <c r="Z40" s="35">
        <f>Z41+Z42+Z43+Z44</f>
        <v>101.990059626967</v>
      </c>
      <c r="AA40" s="36">
        <f t="shared" si="27"/>
        <v>0.0400472169222137</v>
      </c>
      <c r="AB40" s="35">
        <f>AB41+AB42+AB43+AB44</f>
        <v>101.756063104372</v>
      </c>
      <c r="AC40" s="36">
        <f t="shared" si="28"/>
        <v>0.119968943584244</v>
      </c>
      <c r="AD40" s="35">
        <f>AD41+AD42+AD43+AD44</f>
        <v>91.9324897047708</v>
      </c>
      <c r="AE40" s="36">
        <f t="shared" si="29"/>
        <v>-0.0116795031201229</v>
      </c>
      <c r="AF40" s="35">
        <f>AF41+AF42+AF43+AF44</f>
        <v>90.2292055507382</v>
      </c>
      <c r="AG40" s="36">
        <f t="shared" si="30"/>
        <v>-0.0520768442412466</v>
      </c>
      <c r="AH40" s="35">
        <f>AH41+AH42+AH43+AH44</f>
        <v>94.6407807013854</v>
      </c>
      <c r="AI40" s="36">
        <f t="shared" si="31"/>
        <v>-0.0531153440807717</v>
      </c>
      <c r="AJ40" s="35">
        <f>AJ41+AJ42+AJ43+AJ44</f>
        <v>97.2720232534238</v>
      </c>
      <c r="AK40" s="36">
        <f t="shared" si="32"/>
        <v>0.0167421073366849</v>
      </c>
      <c r="AL40" s="35">
        <f>AL41+AL42+AL43+AL44</f>
        <v>95.0545904161333</v>
      </c>
      <c r="AM40" s="36">
        <f t="shared" si="33"/>
        <v>-0.00858746625288243</v>
      </c>
      <c r="AN40" s="35">
        <f>AN41+AN42+AN43+AN44</f>
        <v>107.36177091192</v>
      </c>
      <c r="AO40" s="36">
        <f t="shared" si="34"/>
        <v>0.0301239469975998</v>
      </c>
      <c r="AP40" s="35">
        <f>AP41+AP42+AP43+AP44</f>
        <v>104.537822747425</v>
      </c>
      <c r="AQ40" s="36">
        <f t="shared" si="35"/>
        <v>0.0935205731973721</v>
      </c>
      <c r="AR40" s="35">
        <f>AR41+AR42+AR43+AR44</f>
        <v>107.960681147068</v>
      </c>
      <c r="AS40" s="36">
        <f t="shared" si="36"/>
        <v>0.113474076954633</v>
      </c>
      <c r="AT40" s="35">
        <f t="shared" si="46"/>
        <v>1181.14768490498</v>
      </c>
      <c r="AU40" s="36">
        <f t="shared" si="47"/>
        <v>0.0218469713971379</v>
      </c>
      <c r="AV40" s="37"/>
      <c r="AW40" s="38">
        <f>AW41+AW42+AW43+AW44</f>
        <v>99.1829865584266</v>
      </c>
      <c r="AX40" s="37"/>
      <c r="AY40" s="38">
        <f>AY41+AY42+AY43+AY44</f>
        <v>91.3117565566814</v>
      </c>
      <c r="AZ40" s="37"/>
      <c r="BA40" s="38">
        <f>BA41+BA42+BA43+BA44</f>
        <v>98.062912882728</v>
      </c>
      <c r="BB40" s="37"/>
      <c r="BC40" s="38">
        <f>BC41+BC42+BC43+BC44</f>
        <v>90.8561471166524</v>
      </c>
      <c r="BD40" s="37"/>
      <c r="BE40" s="38">
        <f>BE41+BE42+BE43+BE44</f>
        <v>93.0189042876286</v>
      </c>
      <c r="BF40" s="37"/>
      <c r="BG40" s="38">
        <f>BG41+BG42+BG43+BG44</f>
        <v>95.1862025973143</v>
      </c>
      <c r="BH40" s="37"/>
      <c r="BI40" s="38">
        <f>BI41+BI42+BI43+BI44</f>
        <v>99.9496402331167</v>
      </c>
      <c r="BJ40" s="37"/>
      <c r="BK40" s="38">
        <f>BK41+BK42+BK43+BK44</f>
        <v>95.6703008083573</v>
      </c>
      <c r="BL40" s="37"/>
      <c r="BM40" s="38">
        <f>BM41+BM42+BM43+BM44</f>
        <v>95.8779389815332</v>
      </c>
      <c r="BN40" s="37"/>
      <c r="BO40" s="38">
        <f>BO41+BO42+BO43+BO44</f>
        <v>104.222187266723</v>
      </c>
      <c r="BP40" s="37"/>
      <c r="BQ40" s="38">
        <f>BQ41+BQ42+BQ43+BQ44</f>
        <v>95.5974906276928</v>
      </c>
      <c r="BR40" s="37"/>
      <c r="BS40" s="38">
        <f>BS41+BS42+BS43+BS44</f>
        <v>96.9584145527142</v>
      </c>
      <c r="BT40" s="37"/>
      <c r="BU40" s="38">
        <f t="shared" si="48"/>
        <v>1155.89488246957</v>
      </c>
      <c r="BV40" s="37"/>
      <c r="BW40" s="39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</row>
    <row r="41" ht="27" customHeight="1" spans="1:88">
      <c r="A41" s="45"/>
      <c r="B41" s="34" t="s">
        <v>294</v>
      </c>
      <c r="C41" s="35">
        <f>班线包车!C28</f>
        <v>39.055</v>
      </c>
      <c r="D41" s="36">
        <f t="shared" si="37"/>
        <v>-0.339186550572406</v>
      </c>
      <c r="E41" s="35">
        <f>班线包车!E28</f>
        <v>40.8426</v>
      </c>
      <c r="F41" s="36">
        <f t="shared" si="38"/>
        <v>-0.273060267726037</v>
      </c>
      <c r="G41" s="35">
        <f>班线包车!G28</f>
        <v>40.7877</v>
      </c>
      <c r="H41" s="36">
        <f t="shared" si="39"/>
        <v>-0.260702653029042</v>
      </c>
      <c r="I41" s="35">
        <f>班线包车!I28</f>
        <v>41.5487</v>
      </c>
      <c r="J41" s="36">
        <f t="shared" si="40"/>
        <v>-0.255338253691165</v>
      </c>
      <c r="K41" s="35">
        <f>班线包车!K28</f>
        <v>41.3523</v>
      </c>
      <c r="L41" s="36">
        <f t="shared" si="41"/>
        <v>-0.140797486738682</v>
      </c>
      <c r="M41" s="35">
        <f>班线包车!M28</f>
        <v>35.2665</v>
      </c>
      <c r="N41" s="36">
        <f t="shared" si="42"/>
        <v>-0.294585350242029</v>
      </c>
      <c r="O41" s="35">
        <f>班线包车!O28</f>
        <v>34.5624</v>
      </c>
      <c r="P41" s="36">
        <f t="shared" si="43"/>
        <v>-0.292280537223336</v>
      </c>
      <c r="Q41" s="127"/>
      <c r="R41" s="127"/>
      <c r="S41" s="131">
        <f t="shared" si="44"/>
        <v>273.4152</v>
      </c>
      <c r="T41" s="132">
        <f t="shared" si="45"/>
        <v>-0.349976713152397</v>
      </c>
      <c r="U41" s="36"/>
      <c r="V41" s="35">
        <f>班线包车!V28</f>
        <v>59.1014</v>
      </c>
      <c r="W41" s="36">
        <f t="shared" si="25"/>
        <v>-0.124247255743379</v>
      </c>
      <c r="X41" s="35">
        <f>班线包车!X28</f>
        <v>56.1843</v>
      </c>
      <c r="Y41" s="36">
        <f t="shared" si="26"/>
        <v>-0.106757944841993</v>
      </c>
      <c r="Z41" s="35">
        <f>班线包车!Z28</f>
        <v>55.1709</v>
      </c>
      <c r="AA41" s="36">
        <f t="shared" si="27"/>
        <v>-0.112327299231082</v>
      </c>
      <c r="AB41" s="35">
        <f>班线包车!AB28</f>
        <v>55.7954</v>
      </c>
      <c r="AC41" s="36">
        <f t="shared" si="28"/>
        <v>-0.116188080544397</v>
      </c>
      <c r="AD41" s="35">
        <f>班线包车!AD28</f>
        <v>48.1287</v>
      </c>
      <c r="AE41" s="36">
        <f t="shared" si="29"/>
        <v>-0.24924306119934</v>
      </c>
      <c r="AF41" s="35">
        <f>班线包车!AF28</f>
        <v>49.994</v>
      </c>
      <c r="AG41" s="36">
        <f t="shared" si="30"/>
        <v>-0.190280909067351</v>
      </c>
      <c r="AH41" s="35">
        <f>班线包车!AH28</f>
        <v>48.8363</v>
      </c>
      <c r="AI41" s="36">
        <f t="shared" si="31"/>
        <v>-0.223851064742782</v>
      </c>
      <c r="AJ41" s="35">
        <f>班线包车!AJ28</f>
        <v>47.4127</v>
      </c>
      <c r="AK41" s="36">
        <f t="shared" si="32"/>
        <v>-0.24349805978913</v>
      </c>
      <c r="AL41" s="35">
        <f>班线包车!AL28</f>
        <v>47.5084</v>
      </c>
      <c r="AM41" s="36">
        <f t="shared" si="33"/>
        <v>-0.229347737927231</v>
      </c>
      <c r="AN41" s="35">
        <f>班线包车!AN28</f>
        <v>48.6599</v>
      </c>
      <c r="AO41" s="36">
        <f t="shared" si="34"/>
        <v>-0.272865701037506</v>
      </c>
      <c r="AP41" s="35">
        <f>班线包车!AP28</f>
        <v>46.5076</v>
      </c>
      <c r="AQ41" s="36">
        <f t="shared" si="35"/>
        <v>-0.237667808612127</v>
      </c>
      <c r="AR41" s="35">
        <f>班线包车!AR28</f>
        <v>45.0386</v>
      </c>
      <c r="AS41" s="36">
        <f t="shared" si="36"/>
        <v>-0.204655663825895</v>
      </c>
      <c r="AT41" s="35">
        <f t="shared" si="46"/>
        <v>608.3382</v>
      </c>
      <c r="AU41" s="36">
        <f t="shared" si="47"/>
        <v>-0.192451227209884</v>
      </c>
      <c r="AV41" s="37"/>
      <c r="AW41" s="35">
        <v>67.4864</v>
      </c>
      <c r="AX41" s="36"/>
      <c r="AY41" s="35">
        <v>62.8993</v>
      </c>
      <c r="AZ41" s="36"/>
      <c r="BA41" s="35">
        <v>62.1523</v>
      </c>
      <c r="BB41" s="36"/>
      <c r="BC41" s="35">
        <v>63.1304</v>
      </c>
      <c r="BD41" s="36"/>
      <c r="BE41" s="35">
        <v>64.1069</v>
      </c>
      <c r="BF41" s="36"/>
      <c r="BG41" s="35">
        <v>61.7424</v>
      </c>
      <c r="BH41" s="36"/>
      <c r="BI41" s="35">
        <v>62.9213</v>
      </c>
      <c r="BJ41" s="36"/>
      <c r="BK41" s="35">
        <v>62.6736</v>
      </c>
      <c r="BL41" s="36"/>
      <c r="BM41" s="35">
        <v>61.647</v>
      </c>
      <c r="BN41" s="36"/>
      <c r="BO41" s="35">
        <v>66.9201</v>
      </c>
      <c r="BP41" s="36"/>
      <c r="BQ41" s="35">
        <v>61.007</v>
      </c>
      <c r="BR41" s="36"/>
      <c r="BS41" s="35">
        <v>56.6278</v>
      </c>
      <c r="BT41" s="36"/>
      <c r="BU41" s="35">
        <f t="shared" si="48"/>
        <v>753.3145</v>
      </c>
      <c r="BV41" s="36"/>
      <c r="BW41" s="40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7"/>
    </row>
    <row r="42" ht="27" customHeight="1" spans="1:88">
      <c r="A42" s="45"/>
      <c r="B42" s="34" t="s">
        <v>295</v>
      </c>
      <c r="C42" s="35">
        <f>公交!C33-公交!C35</f>
        <v>12.36</v>
      </c>
      <c r="D42" s="36">
        <f t="shared" si="37"/>
        <v>41.6206896551778</v>
      </c>
      <c r="E42" s="35">
        <f>公交!E33-公交!E35</f>
        <v>12.14</v>
      </c>
      <c r="F42" s="36">
        <f t="shared" si="38"/>
        <v>43.9629629629659</v>
      </c>
      <c r="G42" s="35">
        <f>公交!G33-公交!G35</f>
        <v>12.2700000000001</v>
      </c>
      <c r="H42" s="36">
        <f t="shared" si="39"/>
        <v>0.149953139643862</v>
      </c>
      <c r="I42" s="35">
        <f>公交!I33-公交!I35</f>
        <v>12.24</v>
      </c>
      <c r="J42" s="36">
        <f t="shared" si="40"/>
        <v>0.164605137963846</v>
      </c>
      <c r="K42" s="35">
        <f>公交!K33-公交!K35</f>
        <v>11.85</v>
      </c>
      <c r="L42" s="36">
        <f t="shared" si="41"/>
        <v>0.129647283126789</v>
      </c>
      <c r="M42" s="35">
        <f>公交!M33-公交!M35</f>
        <v>11.8199999999999</v>
      </c>
      <c r="N42" s="36">
        <f t="shared" si="42"/>
        <v>0.108818011257033</v>
      </c>
      <c r="O42" s="35">
        <f>公交!O33-公交!O35</f>
        <v>11.8399999999999</v>
      </c>
      <c r="P42" s="36">
        <f t="shared" si="43"/>
        <v>0.176938369781297</v>
      </c>
      <c r="Q42" s="127"/>
      <c r="R42" s="127"/>
      <c r="S42" s="131">
        <f t="shared" si="44"/>
        <v>84.52</v>
      </c>
      <c r="T42" s="132">
        <f t="shared" si="45"/>
        <v>0.327678290920513</v>
      </c>
      <c r="U42" s="36"/>
      <c r="V42" s="35">
        <f>公交!V33-公交!V35</f>
        <v>0.289999999999964</v>
      </c>
      <c r="W42" s="36">
        <f t="shared" si="25"/>
        <v>0.0740740740740111</v>
      </c>
      <c r="X42" s="35">
        <f>公交!X33-公交!X35</f>
        <v>0.269999999999982</v>
      </c>
      <c r="Y42" s="36">
        <f t="shared" si="26"/>
        <v>1.6999999999992</v>
      </c>
      <c r="Z42" s="35">
        <f>公交!Z33-公交!Z35</f>
        <v>10.6700000000001</v>
      </c>
      <c r="AA42" s="36">
        <f t="shared" si="27"/>
        <v>58.2777777777946</v>
      </c>
      <c r="AB42" s="35">
        <f>公交!AB33-公交!AB35</f>
        <v>10.51</v>
      </c>
      <c r="AC42" s="36">
        <f t="shared" si="28"/>
        <v>39.4230769230783</v>
      </c>
      <c r="AD42" s="35">
        <f>公交!AD33-公交!AD35</f>
        <v>10.49</v>
      </c>
      <c r="AE42" s="36">
        <f t="shared" si="29"/>
        <v>30.7878787878749</v>
      </c>
      <c r="AF42" s="35">
        <f>公交!AF33-公交!AF35</f>
        <v>10.66</v>
      </c>
      <c r="AG42" s="36">
        <f t="shared" si="30"/>
        <v>33.3870967741995</v>
      </c>
      <c r="AH42" s="35">
        <f>公交!AH33-公交!AH35</f>
        <v>10.0600000000001</v>
      </c>
      <c r="AI42" s="36">
        <f t="shared" si="31"/>
        <v>44.7272727272674</v>
      </c>
      <c r="AJ42" s="35">
        <f>公交!AJ33-公交!AJ35</f>
        <v>10.71</v>
      </c>
      <c r="AK42" s="36">
        <f t="shared" si="32"/>
        <v>38.6666666666528</v>
      </c>
      <c r="AL42" s="35">
        <f>公交!AL33-公交!AL35</f>
        <v>11.75</v>
      </c>
      <c r="AM42" s="36">
        <f t="shared" si="33"/>
        <v>46</v>
      </c>
      <c r="AN42" s="35">
        <f>公交!AN33-公交!AN35</f>
        <v>13.74</v>
      </c>
      <c r="AO42" s="36">
        <f t="shared" si="34"/>
        <v>49.8888888888923</v>
      </c>
      <c r="AP42" s="35">
        <f>公交!AP33-公交!AP35</f>
        <v>12.01</v>
      </c>
      <c r="AQ42" s="36">
        <f t="shared" si="35"/>
        <v>43.4814814814844</v>
      </c>
      <c r="AR42" s="35">
        <f>公交!AR33-公交!AR35</f>
        <v>14</v>
      </c>
      <c r="AS42" s="36">
        <f t="shared" si="36"/>
        <v>47.2758620689715</v>
      </c>
      <c r="AT42" s="35">
        <f t="shared" si="46"/>
        <v>115.16</v>
      </c>
      <c r="AU42" s="36">
        <f t="shared" si="47"/>
        <v>37.1324503311261</v>
      </c>
      <c r="AV42" s="37"/>
      <c r="AW42" s="35">
        <v>0.269999999999982</v>
      </c>
      <c r="AX42" s="36"/>
      <c r="AY42" s="35">
        <v>0.100000000000023</v>
      </c>
      <c r="AZ42" s="36"/>
      <c r="BA42" s="35">
        <v>0.17999999999995</v>
      </c>
      <c r="BB42" s="36"/>
      <c r="BC42" s="35">
        <v>0.259999999999991</v>
      </c>
      <c r="BD42" s="36"/>
      <c r="BE42" s="35">
        <v>0.330000000000041</v>
      </c>
      <c r="BF42" s="36"/>
      <c r="BG42" s="35">
        <v>0.309999999999945</v>
      </c>
      <c r="BH42" s="36"/>
      <c r="BI42" s="35">
        <v>0.220000000000027</v>
      </c>
      <c r="BJ42" s="36"/>
      <c r="BK42" s="35">
        <v>0.270000000000095</v>
      </c>
      <c r="BL42" s="36"/>
      <c r="BM42" s="35">
        <v>0.25</v>
      </c>
      <c r="BN42" s="36"/>
      <c r="BO42" s="35">
        <v>0.269999999999982</v>
      </c>
      <c r="BP42" s="36"/>
      <c r="BQ42" s="35">
        <v>0.269999999999982</v>
      </c>
      <c r="BR42" s="36"/>
      <c r="BS42" s="35">
        <v>0.289999999999964</v>
      </c>
      <c r="BT42" s="36"/>
      <c r="BU42" s="35">
        <f t="shared" si="48"/>
        <v>3.01999999999998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ht="27" customHeight="1" spans="1:88">
      <c r="A43" s="45"/>
      <c r="B43" s="34" t="s">
        <v>296</v>
      </c>
      <c r="C43" s="35">
        <f>出租!C33-出租!C35</f>
        <v>29.99</v>
      </c>
      <c r="D43" s="36">
        <f t="shared" si="37"/>
        <v>-0.116902237926972</v>
      </c>
      <c r="E43" s="35">
        <f>出租!E33-出租!E35</f>
        <v>32.36</v>
      </c>
      <c r="F43" s="36">
        <f t="shared" si="38"/>
        <v>0.131864288212661</v>
      </c>
      <c r="G43" s="35">
        <f>出租!G33-出租!G35</f>
        <v>28.51</v>
      </c>
      <c r="H43" s="36">
        <f t="shared" si="39"/>
        <v>-0.0306018361101659</v>
      </c>
      <c r="I43" s="35">
        <f>出租!I33-出租!I35</f>
        <v>27.53</v>
      </c>
      <c r="J43" s="36">
        <f t="shared" si="40"/>
        <v>-0.00253623188405983</v>
      </c>
      <c r="K43" s="35">
        <f>出租!K33-出租!K35</f>
        <v>27.69</v>
      </c>
      <c r="L43" s="36">
        <f t="shared" si="41"/>
        <v>0.0770128354725794</v>
      </c>
      <c r="M43" s="35">
        <f>出租!M33-出租!M35</f>
        <v>25.1</v>
      </c>
      <c r="N43" s="36">
        <f t="shared" si="42"/>
        <v>0.0984682713347949</v>
      </c>
      <c r="O43" s="35">
        <f>出租!O33-出租!O35</f>
        <v>25.21</v>
      </c>
      <c r="P43" s="36">
        <f t="shared" si="43"/>
        <v>-0.0486792452830196</v>
      </c>
      <c r="Q43" s="127"/>
      <c r="R43" s="127"/>
      <c r="S43" s="131">
        <f t="shared" si="44"/>
        <v>196.39</v>
      </c>
      <c r="T43" s="132">
        <f t="shared" si="45"/>
        <v>-0.118932256617317</v>
      </c>
      <c r="U43" s="36"/>
      <c r="V43" s="35">
        <f>出租!V33-出租!V35</f>
        <v>33.96</v>
      </c>
      <c r="W43" s="36">
        <f t="shared" si="25"/>
        <v>0.405047579644186</v>
      </c>
      <c r="X43" s="35">
        <f>出租!X33-出租!X35</f>
        <v>28.59</v>
      </c>
      <c r="Y43" s="36">
        <f t="shared" si="26"/>
        <v>0.1683694319575</v>
      </c>
      <c r="Z43" s="35">
        <f>出租!Z33-出租!Z35</f>
        <v>29.41</v>
      </c>
      <c r="AA43" s="36">
        <f t="shared" si="27"/>
        <v>0.0169432918395562</v>
      </c>
      <c r="AB43" s="35">
        <f>出租!AB33-出租!AB35</f>
        <v>27.6</v>
      </c>
      <c r="AC43" s="36">
        <f t="shared" si="28"/>
        <v>0.330120481927712</v>
      </c>
      <c r="AD43" s="35">
        <f>出租!AD33-出租!AD35</f>
        <v>25.71</v>
      </c>
      <c r="AE43" s="36">
        <f t="shared" si="29"/>
        <v>0.177197802197801</v>
      </c>
      <c r="AF43" s="35">
        <f>出租!AF33-出租!AF35</f>
        <v>22.85</v>
      </c>
      <c r="AG43" s="36">
        <f t="shared" si="30"/>
        <v>-0.147706079820964</v>
      </c>
      <c r="AH43" s="35">
        <f>出租!AH33-出租!AH35</f>
        <v>26.5</v>
      </c>
      <c r="AI43" s="36">
        <f t="shared" si="31"/>
        <v>-0.0789016336461592</v>
      </c>
      <c r="AJ43" s="35">
        <f>出租!AJ33-出租!AJ35</f>
        <v>28.28</v>
      </c>
      <c r="AK43" s="36">
        <f t="shared" si="32"/>
        <v>0.112072355485648</v>
      </c>
      <c r="AL43" s="35">
        <f>出租!AL33-出租!AL35</f>
        <v>25.61</v>
      </c>
      <c r="AM43" s="36">
        <f t="shared" si="33"/>
        <v>-0.0176448024549285</v>
      </c>
      <c r="AN43" s="35">
        <f>出租!AN33-出租!AN35</f>
        <v>28.51</v>
      </c>
      <c r="AO43" s="36">
        <f t="shared" si="34"/>
        <v>0.00742049469964634</v>
      </c>
      <c r="AP43" s="35">
        <f>出租!AP33-出租!AP35</f>
        <v>27.31</v>
      </c>
      <c r="AQ43" s="36">
        <f t="shared" si="35"/>
        <v>0.0739284309870234</v>
      </c>
      <c r="AR43" s="35">
        <f>出租!AR33-出租!AR35</f>
        <v>30.5</v>
      </c>
      <c r="AS43" s="36">
        <f t="shared" si="36"/>
        <v>0.058292852185982</v>
      </c>
      <c r="AT43" s="35">
        <f t="shared" si="46"/>
        <v>334.83</v>
      </c>
      <c r="AU43" s="36">
        <f t="shared" si="47"/>
        <v>0.0808638388533796</v>
      </c>
      <c r="AV43" s="37"/>
      <c r="AW43" s="35">
        <v>24.17</v>
      </c>
      <c r="AX43" s="36"/>
      <c r="AY43" s="35">
        <v>24.47</v>
      </c>
      <c r="AZ43" s="36"/>
      <c r="BA43" s="35">
        <v>28.92</v>
      </c>
      <c r="BB43" s="36"/>
      <c r="BC43" s="35">
        <v>20.75</v>
      </c>
      <c r="BD43" s="36"/>
      <c r="BE43" s="35">
        <v>21.84</v>
      </c>
      <c r="BF43" s="36"/>
      <c r="BG43" s="35">
        <v>26.81</v>
      </c>
      <c r="BH43" s="36"/>
      <c r="BI43" s="35">
        <v>28.77</v>
      </c>
      <c r="BJ43" s="36"/>
      <c r="BK43" s="35">
        <v>25.43</v>
      </c>
      <c r="BL43" s="36"/>
      <c r="BM43" s="35">
        <v>26.07</v>
      </c>
      <c r="BN43" s="36"/>
      <c r="BO43" s="35">
        <v>28.3</v>
      </c>
      <c r="BP43" s="36"/>
      <c r="BQ43" s="35">
        <v>25.43</v>
      </c>
      <c r="BR43" s="36"/>
      <c r="BS43" s="35">
        <v>28.82</v>
      </c>
      <c r="BT43" s="36"/>
      <c r="BU43" s="35">
        <f t="shared" si="48"/>
        <v>309.78</v>
      </c>
      <c r="BV43" s="36"/>
      <c r="BW43" s="40"/>
      <c r="BX43" s="49"/>
      <c r="BY43" s="49"/>
      <c r="BZ43" s="49"/>
      <c r="CA43" s="49"/>
      <c r="CB43" s="49"/>
      <c r="CC43" s="49"/>
      <c r="CD43" s="50"/>
      <c r="CE43" s="49"/>
      <c r="CF43" s="50"/>
      <c r="CG43" s="50"/>
      <c r="CH43" s="50"/>
      <c r="CI43" s="50"/>
      <c r="CJ43" s="47"/>
    </row>
    <row r="44" ht="27" customHeight="1" spans="1:88">
      <c r="A44" s="29"/>
      <c r="B44" s="34" t="s">
        <v>297</v>
      </c>
      <c r="C44" s="35">
        <f>网约车!C33-网约车!C35</f>
        <v>19.223313877539</v>
      </c>
      <c r="D44" s="36">
        <f t="shared" si="37"/>
        <v>2.99687380671251</v>
      </c>
      <c r="E44" s="35">
        <f>网约车!E33-网约车!E35</f>
        <v>16.659372121271</v>
      </c>
      <c r="F44" s="36">
        <f t="shared" si="38"/>
        <v>2.19947358661131</v>
      </c>
      <c r="G44" s="35">
        <f>网约车!G33-网约车!G35</f>
        <v>17.307301499218</v>
      </c>
      <c r="H44" s="36">
        <f t="shared" si="39"/>
        <v>1.56816909781495</v>
      </c>
      <c r="I44" s="35">
        <f>网约车!I33-网约车!I35</f>
        <v>17.726689281469</v>
      </c>
      <c r="J44" s="36">
        <f t="shared" si="40"/>
        <v>1.25798624215546</v>
      </c>
      <c r="K44" s="35">
        <f>网约车!K33-网约车!K35</f>
        <v>18.054260096165</v>
      </c>
      <c r="L44" s="36">
        <f t="shared" si="41"/>
        <v>1.37437656710013</v>
      </c>
      <c r="M44" s="35">
        <f>网约车!M33-网约车!M35</f>
        <v>17.823248921101</v>
      </c>
      <c r="N44" s="36">
        <f t="shared" si="42"/>
        <v>1.65021623304054</v>
      </c>
      <c r="O44" s="35">
        <f>网约车!O33-网约车!O35</f>
        <v>18.982720518949</v>
      </c>
      <c r="P44" s="36">
        <f t="shared" si="43"/>
        <v>1.05341123337565</v>
      </c>
      <c r="Q44" s="127"/>
      <c r="R44" s="127"/>
      <c r="S44" s="131">
        <f t="shared" si="44"/>
        <v>125.776906315712</v>
      </c>
      <c r="T44" s="132">
        <f t="shared" si="45"/>
        <v>1.13003863549773</v>
      </c>
      <c r="U44" s="36"/>
      <c r="V44" s="35">
        <f>网约车!V33-网约车!V35</f>
        <v>4.8095873943417</v>
      </c>
      <c r="W44" s="36">
        <f t="shared" si="25"/>
        <v>-0.337210773189684</v>
      </c>
      <c r="X44" s="35">
        <f>网约车!X33-网约车!X35</f>
        <v>5.2069103464347</v>
      </c>
      <c r="Y44" s="36">
        <f t="shared" si="26"/>
        <v>0.355099340649865</v>
      </c>
      <c r="Z44" s="35">
        <f>网约车!Z33-网约车!Z35</f>
        <v>6.7391596269667</v>
      </c>
      <c r="AA44" s="36">
        <f t="shared" si="27"/>
        <v>-0.0104914575225006</v>
      </c>
      <c r="AB44" s="35">
        <f>网约车!AB33-网约车!AB35</f>
        <v>7.8506631043718</v>
      </c>
      <c r="AC44" s="36">
        <f t="shared" si="28"/>
        <v>0.168993258383017</v>
      </c>
      <c r="AD44" s="35">
        <f>网约车!AD33-网约车!AD35</f>
        <v>7.6037897047708</v>
      </c>
      <c r="AE44" s="36">
        <f t="shared" si="29"/>
        <v>0.127823326769998</v>
      </c>
      <c r="AF44" s="35">
        <f>网约车!AF33-网约车!AF35</f>
        <v>6.7252055507383</v>
      </c>
      <c r="AG44" s="36">
        <f t="shared" si="30"/>
        <v>0.0634749341471226</v>
      </c>
      <c r="AH44" s="35">
        <f>网约车!AH33-网约车!AH35</f>
        <v>9.2444807013853</v>
      </c>
      <c r="AI44" s="36">
        <f t="shared" si="31"/>
        <v>0.150048446979083</v>
      </c>
      <c r="AJ44" s="35">
        <f>网约车!AJ33-网约车!AJ35</f>
        <v>10.8693232534237</v>
      </c>
      <c r="AK44" s="36">
        <f t="shared" si="32"/>
        <v>0.489621616522172</v>
      </c>
      <c r="AL44" s="35">
        <f>网约车!AL33-网约车!AL35</f>
        <v>10.1861904161333</v>
      </c>
      <c r="AM44" s="36">
        <f t="shared" si="33"/>
        <v>0.287608264949504</v>
      </c>
      <c r="AN44" s="35">
        <f>网约车!AN33-网约车!AN35</f>
        <v>16.45187091192</v>
      </c>
      <c r="AO44" s="36">
        <f t="shared" si="34"/>
        <v>0.884070830878619</v>
      </c>
      <c r="AP44" s="35">
        <f>网约车!AP33-网约车!AP35</f>
        <v>18.710222747425</v>
      </c>
      <c r="AQ44" s="36">
        <f t="shared" si="35"/>
        <v>1.10452083365849</v>
      </c>
      <c r="AR44" s="35">
        <f>网约车!AR33-网约车!AR35</f>
        <v>18.422081147068</v>
      </c>
      <c r="AS44" s="36">
        <f t="shared" si="36"/>
        <v>0.641806788792313</v>
      </c>
      <c r="AT44" s="35">
        <f t="shared" si="46"/>
        <v>122.819484904979</v>
      </c>
      <c r="AU44" s="36">
        <f t="shared" si="47"/>
        <v>0.36799912772269</v>
      </c>
      <c r="AV44" s="37"/>
      <c r="AW44" s="35">
        <v>7.2565865584266</v>
      </c>
      <c r="AX44" s="36"/>
      <c r="AY44" s="35">
        <v>3.84245655668139</v>
      </c>
      <c r="AZ44" s="36"/>
      <c r="BA44" s="35">
        <v>6.81061288272804</v>
      </c>
      <c r="BB44" s="36"/>
      <c r="BC44" s="35">
        <v>6.71574711665237</v>
      </c>
      <c r="BD44" s="36"/>
      <c r="BE44" s="35">
        <v>6.74200428762853</v>
      </c>
      <c r="BF44" s="36"/>
      <c r="BG44" s="35">
        <v>6.32380259731437</v>
      </c>
      <c r="BH44" s="36"/>
      <c r="BI44" s="35">
        <v>8.03834023311666</v>
      </c>
      <c r="BJ44" s="36"/>
      <c r="BK44" s="35">
        <v>7.2967008083572</v>
      </c>
      <c r="BL44" s="36"/>
      <c r="BM44" s="35">
        <v>7.91093898153316</v>
      </c>
      <c r="BN44" s="36"/>
      <c r="BO44" s="35">
        <v>8.73208726672331</v>
      </c>
      <c r="BP44" s="36"/>
      <c r="BQ44" s="35">
        <v>8.89049062769278</v>
      </c>
      <c r="BR44" s="36"/>
      <c r="BS44" s="35">
        <v>11.2206145527142</v>
      </c>
      <c r="BT44" s="36"/>
      <c r="BU44" s="35">
        <f t="shared" si="48"/>
        <v>89.7803824695686</v>
      </c>
      <c r="BV44" s="36"/>
      <c r="BW44" s="40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7"/>
    </row>
    <row r="45" s="15" customFormat="1" ht="27" customHeight="1" spans="1:88">
      <c r="A45" s="48" t="s">
        <v>100</v>
      </c>
      <c r="B45" s="34" t="s">
        <v>293</v>
      </c>
      <c r="C45" s="35">
        <f>C46+C47+C48+C49</f>
        <v>324.791951951275</v>
      </c>
      <c r="D45" s="36">
        <f t="shared" si="37"/>
        <v>0.162777013358421</v>
      </c>
      <c r="E45" s="35">
        <f>E46+E47+E48+E49</f>
        <v>325.149634655659</v>
      </c>
      <c r="F45" s="36">
        <f t="shared" si="38"/>
        <v>0.152183671641564</v>
      </c>
      <c r="G45" s="35">
        <f>G46+G47+G48+G49</f>
        <v>321.922646371905</v>
      </c>
      <c r="H45" s="36">
        <f t="shared" si="39"/>
        <v>0.132443325329963</v>
      </c>
      <c r="I45" s="35">
        <f>I46+I47+I48+I49</f>
        <v>322.867200968946</v>
      </c>
      <c r="J45" s="36">
        <f t="shared" si="40"/>
        <v>0.125988250000141</v>
      </c>
      <c r="K45" s="35">
        <f>K46+K47+K48+K49</f>
        <v>344.331811145158</v>
      </c>
      <c r="L45" s="36">
        <f t="shared" si="41"/>
        <v>-0.129780491993314</v>
      </c>
      <c r="M45" s="35">
        <f>M46+M47+M48+M49</f>
        <v>360.016004677877</v>
      </c>
      <c r="N45" s="36">
        <f t="shared" si="42"/>
        <v>0.0342078696491863</v>
      </c>
      <c r="O45" s="35">
        <f>O46+O47+O48+O49</f>
        <v>348.336386465873</v>
      </c>
      <c r="P45" s="36">
        <f t="shared" si="43"/>
        <v>0.0634727829028336</v>
      </c>
      <c r="Q45" s="127"/>
      <c r="R45" s="127"/>
      <c r="S45" s="131">
        <f t="shared" si="44"/>
        <v>2347.41563623669</v>
      </c>
      <c r="T45" s="132">
        <f t="shared" si="45"/>
        <v>-0.07037862024042</v>
      </c>
      <c r="U45" s="36"/>
      <c r="V45" s="35">
        <f>V46+V47+V48+V49</f>
        <v>279.324365910181</v>
      </c>
      <c r="W45" s="36">
        <f t="shared" si="25"/>
        <v>-0.10103445261254</v>
      </c>
      <c r="X45" s="35">
        <f>X46+X47+X48+X49</f>
        <v>282.202953104174</v>
      </c>
      <c r="Y45" s="36">
        <f t="shared" si="26"/>
        <v>0.036821546787932</v>
      </c>
      <c r="Z45" s="35">
        <f>Z46+Z47+Z48+Z49</f>
        <v>284.272633491928</v>
      </c>
      <c r="AA45" s="36">
        <f t="shared" si="27"/>
        <v>0.0053955944221602</v>
      </c>
      <c r="AB45" s="35">
        <f>AB46+AB47+AB48+AB49</f>
        <v>286.741181330183</v>
      </c>
      <c r="AC45" s="36">
        <f t="shared" si="28"/>
        <v>0.0115697010932398</v>
      </c>
      <c r="AD45" s="35">
        <f>AD46+AD47+AD48+AD49</f>
        <v>395.683856747684</v>
      </c>
      <c r="AE45" s="36">
        <f t="shared" si="29"/>
        <v>0.35575174753245</v>
      </c>
      <c r="AF45" s="35">
        <f>AF46+AF47+AF48+AF49</f>
        <v>348.107972529737</v>
      </c>
      <c r="AG45" s="36">
        <f t="shared" si="30"/>
        <v>0.259295409545848</v>
      </c>
      <c r="AH45" s="35">
        <f>AH46+AH47+AH48+AH49</f>
        <v>327.546122539273</v>
      </c>
      <c r="AI45" s="36">
        <f t="shared" si="31"/>
        <v>0.206531029525727</v>
      </c>
      <c r="AJ45" s="35">
        <f>AJ46+AJ47+AJ48+AJ49</f>
        <v>321.251776595065</v>
      </c>
      <c r="AK45" s="36">
        <f t="shared" si="32"/>
        <v>0.239760313440114</v>
      </c>
      <c r="AL45" s="35">
        <f>AL46+AL47+AL48+AL49</f>
        <v>329.938966303657</v>
      </c>
      <c r="AM45" s="36">
        <f t="shared" si="33"/>
        <v>0.243351975208671</v>
      </c>
      <c r="AN45" s="35">
        <f>AN46+AN47+AN48+AN49</f>
        <v>353.99011865535</v>
      </c>
      <c r="AO45" s="36">
        <f t="shared" si="34"/>
        <v>0.224021160060217</v>
      </c>
      <c r="AP45" s="35">
        <f>AP46+AP47+AP48+AP49</f>
        <v>348.678134657393</v>
      </c>
      <c r="AQ45" s="36">
        <f t="shared" si="35"/>
        <v>0.255798047338084</v>
      </c>
      <c r="AR45" s="35">
        <f>AR46+AR47+AR48+AR49</f>
        <v>349.927699801842</v>
      </c>
      <c r="AS45" s="36">
        <f t="shared" si="36"/>
        <v>0.29932205289985</v>
      </c>
      <c r="AT45" s="35">
        <f t="shared" si="46"/>
        <v>3907.66578166647</v>
      </c>
      <c r="AU45" s="36">
        <f t="shared" si="47"/>
        <v>0.16663090965202</v>
      </c>
      <c r="AV45" s="37"/>
      <c r="AW45" s="38">
        <f>AW46+AW47+AW48+AW49</f>
        <v>310.717542760057</v>
      </c>
      <c r="AX45" s="37"/>
      <c r="AY45" s="38">
        <f>AY46+AY47+AY48+AY49</f>
        <v>272.180833797713</v>
      </c>
      <c r="AZ45" s="37"/>
      <c r="BA45" s="38">
        <f>BA46+BA47+BA48+BA49</f>
        <v>282.747045112437</v>
      </c>
      <c r="BB45" s="37"/>
      <c r="BC45" s="38">
        <f>BC46+BC47+BC48+BC49</f>
        <v>283.461615171245</v>
      </c>
      <c r="BD45" s="37"/>
      <c r="BE45" s="38">
        <f>BE46+BE47+BE48+BE49</f>
        <v>291.855686314145</v>
      </c>
      <c r="BF45" s="37"/>
      <c r="BG45" s="38">
        <f>BG46+BG47+BG48+BG49</f>
        <v>276.430748409763</v>
      </c>
      <c r="BH45" s="37"/>
      <c r="BI45" s="38">
        <f>BI46+BI47+BI48+BI49</f>
        <v>271.477578714264</v>
      </c>
      <c r="BJ45" s="37"/>
      <c r="BK45" s="38">
        <f>BK46+BK47+BK48+BK49</f>
        <v>259.124100935001</v>
      </c>
      <c r="BL45" s="37"/>
      <c r="BM45" s="38">
        <f>BM46+BM47+BM48+BM49</f>
        <v>265.362482130841</v>
      </c>
      <c r="BN45" s="37"/>
      <c r="BO45" s="38">
        <f>BO46+BO47+BO48+BO49</f>
        <v>289.202613652476</v>
      </c>
      <c r="BP45" s="37"/>
      <c r="BQ45" s="38">
        <f>BQ46+BQ47+BQ48+BQ49</f>
        <v>277.654624003028</v>
      </c>
      <c r="BR45" s="37"/>
      <c r="BS45" s="38">
        <f>BS46+BS47+BS48+BS49</f>
        <v>269.315601178989</v>
      </c>
      <c r="BT45" s="37"/>
      <c r="BU45" s="38">
        <f t="shared" si="48"/>
        <v>3349.53047217996</v>
      </c>
      <c r="BV45" s="37"/>
      <c r="BW45" s="39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</row>
    <row r="46" ht="27" customHeight="1" spans="1:88">
      <c r="A46" s="45"/>
      <c r="B46" s="34" t="s">
        <v>294</v>
      </c>
      <c r="C46" s="35">
        <f>班线包车!C32</f>
        <v>59.3255</v>
      </c>
      <c r="D46" s="36">
        <f t="shared" si="37"/>
        <v>-0.194619984659558</v>
      </c>
      <c r="E46" s="35">
        <f>班线包车!E32</f>
        <v>60.7363</v>
      </c>
      <c r="F46" s="36">
        <f t="shared" si="38"/>
        <v>-0.159569713331332</v>
      </c>
      <c r="G46" s="35">
        <f>班线包车!G32</f>
        <v>56.7931</v>
      </c>
      <c r="H46" s="36">
        <f t="shared" si="39"/>
        <v>-0.238385986745233</v>
      </c>
      <c r="I46" s="35">
        <f>班线包车!I32</f>
        <v>61.8497</v>
      </c>
      <c r="J46" s="36">
        <f t="shared" si="40"/>
        <v>-0.212850766726525</v>
      </c>
      <c r="K46" s="35">
        <f>班线包车!K32</f>
        <v>62.0998</v>
      </c>
      <c r="L46" s="36">
        <f t="shared" si="41"/>
        <v>-0.294334888604551</v>
      </c>
      <c r="M46" s="35">
        <f>班线包车!M32</f>
        <v>62.8884</v>
      </c>
      <c r="N46" s="36">
        <f t="shared" si="42"/>
        <v>-0.135023168874896</v>
      </c>
      <c r="O46" s="35">
        <f>班线包车!O32</f>
        <v>56.9534</v>
      </c>
      <c r="P46" s="36">
        <f t="shared" si="43"/>
        <v>-0.137956556815034</v>
      </c>
      <c r="Q46" s="127"/>
      <c r="R46" s="127"/>
      <c r="S46" s="131">
        <f t="shared" si="44"/>
        <v>420.6462</v>
      </c>
      <c r="T46" s="132">
        <f t="shared" si="45"/>
        <v>-0.287510944042554</v>
      </c>
      <c r="U46" s="36"/>
      <c r="V46" s="35">
        <f>班线包车!V32</f>
        <v>73.6615</v>
      </c>
      <c r="W46" s="36">
        <f t="shared" si="25"/>
        <v>-0.176084568733907</v>
      </c>
      <c r="X46" s="35">
        <f>班线包车!X32</f>
        <v>72.2681</v>
      </c>
      <c r="Y46" s="36">
        <f t="shared" si="26"/>
        <v>-0.151141238212921</v>
      </c>
      <c r="Z46" s="35">
        <f>班线包车!Z32</f>
        <v>74.5694</v>
      </c>
      <c r="AA46" s="36">
        <f t="shared" si="27"/>
        <v>-0.158369365617357</v>
      </c>
      <c r="AB46" s="35">
        <f>班线包车!AB32</f>
        <v>78.5743</v>
      </c>
      <c r="AC46" s="36">
        <f t="shared" si="28"/>
        <v>-0.160810712668427</v>
      </c>
      <c r="AD46" s="35">
        <f>班线包车!AD32</f>
        <v>88.0018</v>
      </c>
      <c r="AE46" s="36">
        <f t="shared" si="29"/>
        <v>-0.0512150129215403</v>
      </c>
      <c r="AF46" s="35">
        <f>班线包车!AF32</f>
        <v>72.7053</v>
      </c>
      <c r="AG46" s="36">
        <f t="shared" si="30"/>
        <v>-0.152618881118881</v>
      </c>
      <c r="AH46" s="35">
        <f>班线包车!AH32</f>
        <v>66.0679</v>
      </c>
      <c r="AI46" s="36">
        <f t="shared" si="31"/>
        <v>-0.192063208663921</v>
      </c>
      <c r="AJ46" s="35">
        <f>班线包车!AJ32</f>
        <v>64.5414</v>
      </c>
      <c r="AK46" s="36">
        <f t="shared" si="32"/>
        <v>-0.183146400176175</v>
      </c>
      <c r="AL46" s="35">
        <f>班线包车!AL32</f>
        <v>66.3654</v>
      </c>
      <c r="AM46" s="36">
        <f t="shared" si="33"/>
        <v>-0.142599124064959</v>
      </c>
      <c r="AN46" s="35">
        <f>班线包车!AN32</f>
        <v>69.6476</v>
      </c>
      <c r="AO46" s="36">
        <f t="shared" si="34"/>
        <v>-0.191636838024671</v>
      </c>
      <c r="AP46" s="35">
        <f>班线包车!AP32</f>
        <v>65.118</v>
      </c>
      <c r="AQ46" s="36">
        <f t="shared" si="35"/>
        <v>-0.229349980768662</v>
      </c>
      <c r="AR46" s="35">
        <f>班线包车!AR32</f>
        <v>62.5022</v>
      </c>
      <c r="AS46" s="36">
        <f t="shared" si="36"/>
        <v>-0.164985117218603</v>
      </c>
      <c r="AT46" s="35">
        <f t="shared" si="46"/>
        <v>854.0229</v>
      </c>
      <c r="AU46" s="36">
        <f t="shared" si="47"/>
        <v>-0.16191817066755</v>
      </c>
      <c r="AV46" s="37"/>
      <c r="AW46" s="35">
        <v>89.4042</v>
      </c>
      <c r="AX46" s="36"/>
      <c r="AY46" s="35">
        <v>85.1356</v>
      </c>
      <c r="AZ46" s="36"/>
      <c r="BA46" s="35">
        <v>88.6011</v>
      </c>
      <c r="BB46" s="36"/>
      <c r="BC46" s="35">
        <v>93.6312</v>
      </c>
      <c r="BD46" s="36"/>
      <c r="BE46" s="35">
        <v>92.7521</v>
      </c>
      <c r="BF46" s="36"/>
      <c r="BG46" s="35">
        <v>85.8</v>
      </c>
      <c r="BH46" s="36"/>
      <c r="BI46" s="35">
        <v>81.7736</v>
      </c>
      <c r="BJ46" s="36"/>
      <c r="BK46" s="35">
        <v>79.0122</v>
      </c>
      <c r="BL46" s="36"/>
      <c r="BM46" s="35">
        <v>77.403</v>
      </c>
      <c r="BN46" s="36"/>
      <c r="BO46" s="35">
        <v>86.1588</v>
      </c>
      <c r="BP46" s="36"/>
      <c r="BQ46" s="35">
        <v>84.4975</v>
      </c>
      <c r="BR46" s="36"/>
      <c r="BS46" s="35">
        <v>74.8516</v>
      </c>
      <c r="BT46" s="36"/>
      <c r="BU46" s="35">
        <f t="shared" si="48"/>
        <v>1019.0209</v>
      </c>
      <c r="BV46" s="36"/>
      <c r="BW46" s="4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47"/>
    </row>
    <row r="47" ht="27" customHeight="1" spans="1:88">
      <c r="A47" s="45"/>
      <c r="B47" s="34" t="s">
        <v>295</v>
      </c>
      <c r="C47" s="35">
        <f>公交!C37-公交!C39</f>
        <v>155.57</v>
      </c>
      <c r="D47" s="36">
        <f t="shared" si="37"/>
        <v>0.294798168955472</v>
      </c>
      <c r="E47" s="35">
        <f>公交!E37-公交!E39</f>
        <v>161</v>
      </c>
      <c r="F47" s="36">
        <f t="shared" si="38"/>
        <v>0.299015652735194</v>
      </c>
      <c r="G47" s="35">
        <f>公交!G37-公交!G39</f>
        <v>159.77</v>
      </c>
      <c r="H47" s="36">
        <f t="shared" si="39"/>
        <v>0.259717732397698</v>
      </c>
      <c r="I47" s="35">
        <f>公交!I37-公交!I39</f>
        <v>160.12</v>
      </c>
      <c r="J47" s="36">
        <f t="shared" si="40"/>
        <v>0.284144678803432</v>
      </c>
      <c r="K47" s="35">
        <f>公交!K37-公交!K39</f>
        <v>166.94</v>
      </c>
      <c r="L47" s="36">
        <f t="shared" si="41"/>
        <v>0.00288357563378572</v>
      </c>
      <c r="M47" s="35">
        <f>公交!M37-公交!M39</f>
        <v>172.51</v>
      </c>
      <c r="N47" s="36">
        <f t="shared" si="42"/>
        <v>0.0980204951944497</v>
      </c>
      <c r="O47" s="35">
        <f>公交!O37-公交!O39</f>
        <v>173.77</v>
      </c>
      <c r="P47" s="36">
        <f t="shared" si="43"/>
        <v>0.175949110103539</v>
      </c>
      <c r="Q47" s="127"/>
      <c r="R47" s="127"/>
      <c r="S47" s="131">
        <f t="shared" si="44"/>
        <v>1149.68</v>
      </c>
      <c r="T47" s="132">
        <f t="shared" si="45"/>
        <v>0.0323808839640092</v>
      </c>
      <c r="U47" s="36"/>
      <c r="V47" s="35">
        <f>公交!V37-公交!V39</f>
        <v>120.15</v>
      </c>
      <c r="W47" s="36">
        <f t="shared" ref="W47:W78" si="49">V47/AW47-1</f>
        <v>0.146688299293758</v>
      </c>
      <c r="X47" s="35">
        <f>公交!X37-公交!X39</f>
        <v>123.94</v>
      </c>
      <c r="Y47" s="36">
        <f t="shared" ref="Y47:Y78" si="50">X47/AY47-1</f>
        <v>0.264048954614993</v>
      </c>
      <c r="Z47" s="35">
        <f>公交!Z37-公交!Z39</f>
        <v>126.83</v>
      </c>
      <c r="AA47" s="36">
        <f t="shared" ref="AA47:AA78" si="51">Z47/BA47-1</f>
        <v>0.192123319860889</v>
      </c>
      <c r="AB47" s="35">
        <f>公交!AB37-公交!AB39</f>
        <v>124.69</v>
      </c>
      <c r="AC47" s="36">
        <f t="shared" ref="AC47:AC78" si="52">AB47/BC47-1</f>
        <v>0.177876440581901</v>
      </c>
      <c r="AD47" s="35">
        <f>公交!AD37-公交!AD39</f>
        <v>166.46</v>
      </c>
      <c r="AE47" s="36">
        <f t="shared" ref="AE47:AE78" si="53">AD47/BE47-1</f>
        <v>0.525476539589443</v>
      </c>
      <c r="AF47" s="35">
        <f>公交!AF37-公交!AF39</f>
        <v>157.11</v>
      </c>
      <c r="AG47" s="36">
        <f t="shared" ref="AG47:AG78" si="54">AF47/BG47-1</f>
        <v>0.480633305060786</v>
      </c>
      <c r="AH47" s="35">
        <f>公交!AH37-公交!AH39</f>
        <v>147.77</v>
      </c>
      <c r="AI47" s="36">
        <f t="shared" ref="AI47:AI78" si="55">AH47/BI47-1</f>
        <v>0.404924890663624</v>
      </c>
      <c r="AJ47" s="35">
        <f>公交!AJ37-公交!AJ39</f>
        <v>146.67</v>
      </c>
      <c r="AK47" s="36">
        <f t="shared" ref="AK47:AK78" si="56">AJ47/BK47-1</f>
        <v>0.503536647872886</v>
      </c>
      <c r="AL47" s="35">
        <f>公交!AL37-公交!AL39</f>
        <v>153.73</v>
      </c>
      <c r="AM47" s="36">
        <f t="shared" ref="AM47:AM78" si="57">AL47/BM47-1</f>
        <v>0.492234517569404</v>
      </c>
      <c r="AN47" s="35">
        <f>公交!AN37-公交!AN39</f>
        <v>156.77</v>
      </c>
      <c r="AO47" s="36">
        <f t="shared" ref="AO47:AO78" si="58">AN47/BO47-1</f>
        <v>0.325974794891314</v>
      </c>
      <c r="AP47" s="35">
        <f>公交!AP37-公交!AP39</f>
        <v>158.77</v>
      </c>
      <c r="AQ47" s="36">
        <f t="shared" ref="AQ47:AQ78" si="59">AP47/BQ47-1</f>
        <v>0.422925255422119</v>
      </c>
      <c r="AR47" s="35">
        <f>公交!AR37-公交!AR39</f>
        <v>155.16</v>
      </c>
      <c r="AS47" s="36">
        <f t="shared" ref="AS47:AS78" si="60">AR47/BS47-1</f>
        <v>0.412214435241649</v>
      </c>
      <c r="AT47" s="35">
        <f t="shared" si="46"/>
        <v>1738.05</v>
      </c>
      <c r="AU47" s="36">
        <f t="shared" si="47"/>
        <v>0.362385752582815</v>
      </c>
      <c r="AV47" s="37"/>
      <c r="AW47" s="35">
        <v>104.78</v>
      </c>
      <c r="AX47" s="36"/>
      <c r="AY47" s="35">
        <v>98.05</v>
      </c>
      <c r="AZ47" s="36"/>
      <c r="BA47" s="35">
        <v>106.39</v>
      </c>
      <c r="BB47" s="36"/>
      <c r="BC47" s="35">
        <v>105.86</v>
      </c>
      <c r="BD47" s="36"/>
      <c r="BE47" s="35">
        <v>109.12</v>
      </c>
      <c r="BF47" s="36"/>
      <c r="BG47" s="35">
        <v>106.11</v>
      </c>
      <c r="BH47" s="36"/>
      <c r="BI47" s="35">
        <v>105.18</v>
      </c>
      <c r="BJ47" s="36"/>
      <c r="BK47" s="35">
        <v>97.55</v>
      </c>
      <c r="BL47" s="36"/>
      <c r="BM47" s="35">
        <v>103.02</v>
      </c>
      <c r="BN47" s="36"/>
      <c r="BO47" s="35">
        <v>118.23</v>
      </c>
      <c r="BP47" s="36"/>
      <c r="BQ47" s="35">
        <v>111.58</v>
      </c>
      <c r="BR47" s="36"/>
      <c r="BS47" s="35">
        <v>109.87</v>
      </c>
      <c r="BT47" s="36"/>
      <c r="BU47" s="35">
        <f t="shared" si="48"/>
        <v>1275.74</v>
      </c>
      <c r="BV47" s="36"/>
      <c r="BW47" s="40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7"/>
    </row>
    <row r="48" ht="27" customHeight="1" spans="1:88">
      <c r="A48" s="45"/>
      <c r="B48" s="34" t="s">
        <v>296</v>
      </c>
      <c r="C48" s="35">
        <f>出租!C37-出租!C39</f>
        <v>77.78</v>
      </c>
      <c r="D48" s="36">
        <f t="shared" si="37"/>
        <v>0.0323865144677462</v>
      </c>
      <c r="E48" s="35">
        <f>出租!E37-出租!E39</f>
        <v>78.4</v>
      </c>
      <c r="F48" s="36">
        <f t="shared" si="38"/>
        <v>0.0438024231127683</v>
      </c>
      <c r="G48" s="35">
        <f>出租!G37-出租!G39</f>
        <v>72.68</v>
      </c>
      <c r="H48" s="36">
        <f t="shared" si="39"/>
        <v>0.0384340620088583</v>
      </c>
      <c r="I48" s="35">
        <f>出租!I37-出租!I39</f>
        <v>68.88</v>
      </c>
      <c r="J48" s="36">
        <f t="shared" si="40"/>
        <v>0.00540067143482714</v>
      </c>
      <c r="K48" s="35">
        <f>出租!K37-出租!K39</f>
        <v>77.6</v>
      </c>
      <c r="L48" s="36">
        <f t="shared" si="41"/>
        <v>-0.360632775809508</v>
      </c>
      <c r="M48" s="35">
        <f>出租!M37-出租!M39</f>
        <v>85.8</v>
      </c>
      <c r="N48" s="36">
        <f t="shared" si="42"/>
        <v>-0.141656662665066</v>
      </c>
      <c r="O48" s="35">
        <f>出租!O37-出租!O39</f>
        <v>77.29</v>
      </c>
      <c r="P48" s="36">
        <f t="shared" si="43"/>
        <v>-0.169817400644468</v>
      </c>
      <c r="Q48" s="127"/>
      <c r="R48" s="127"/>
      <c r="S48" s="131">
        <f t="shared" si="44"/>
        <v>538.43</v>
      </c>
      <c r="T48" s="132">
        <f t="shared" si="45"/>
        <v>-0.22128053454435</v>
      </c>
      <c r="U48" s="36"/>
      <c r="V48" s="35">
        <f>出租!V37-出租!V39</f>
        <v>75.34</v>
      </c>
      <c r="W48" s="36">
        <f t="shared" si="49"/>
        <v>-0.252208436724566</v>
      </c>
      <c r="X48" s="35">
        <f>出租!X37-出租!X39</f>
        <v>75.11</v>
      </c>
      <c r="Y48" s="36">
        <f t="shared" si="50"/>
        <v>-0.0534341524889734</v>
      </c>
      <c r="Z48" s="35">
        <f>出租!Z37-出租!Z39</f>
        <v>69.99</v>
      </c>
      <c r="AA48" s="36">
        <f t="shared" si="51"/>
        <v>-0.0701474691111995</v>
      </c>
      <c r="AB48" s="35">
        <f>出租!AB37-出租!AB39</f>
        <v>68.51</v>
      </c>
      <c r="AC48" s="36">
        <f t="shared" si="52"/>
        <v>-0.0316607773851592</v>
      </c>
      <c r="AD48" s="35">
        <f>出租!AD37-出租!AD39</f>
        <v>121.37</v>
      </c>
      <c r="AE48" s="36">
        <f t="shared" si="53"/>
        <v>0.606911161128028</v>
      </c>
      <c r="AF48" s="35">
        <f>出租!AF37-出租!AF39</f>
        <v>99.96</v>
      </c>
      <c r="AG48" s="36">
        <f t="shared" si="54"/>
        <v>0.377808407994487</v>
      </c>
      <c r="AH48" s="35">
        <f>出租!AH37-出租!AH39</f>
        <v>93.1</v>
      </c>
      <c r="AI48" s="36">
        <f t="shared" si="55"/>
        <v>0.326210826210826</v>
      </c>
      <c r="AJ48" s="35">
        <f>出租!AJ37-出租!AJ39</f>
        <v>88.05</v>
      </c>
      <c r="AK48" s="36">
        <f t="shared" si="56"/>
        <v>0.281659388646288</v>
      </c>
      <c r="AL48" s="35">
        <f>出租!AL37-出租!AL39</f>
        <v>89.33</v>
      </c>
      <c r="AM48" s="36">
        <f t="shared" si="57"/>
        <v>0.309824046920821</v>
      </c>
      <c r="AN48" s="35">
        <f>出租!AN37-出租!AN39</f>
        <v>95.06</v>
      </c>
      <c r="AO48" s="36">
        <f t="shared" si="58"/>
        <v>0.403306761145557</v>
      </c>
      <c r="AP48" s="35">
        <f>出租!AP37-出租!AP39</f>
        <v>91.45</v>
      </c>
      <c r="AQ48" s="36">
        <f t="shared" si="59"/>
        <v>0.424454828660436</v>
      </c>
      <c r="AR48" s="35">
        <f>出租!AR37-出租!AR39</f>
        <v>96.03</v>
      </c>
      <c r="AS48" s="36">
        <f t="shared" si="60"/>
        <v>0.488375697458152</v>
      </c>
      <c r="AT48" s="35">
        <f t="shared" si="46"/>
        <v>1063.3</v>
      </c>
      <c r="AU48" s="36">
        <f t="shared" si="47"/>
        <v>0.211378964637258</v>
      </c>
      <c r="AV48" s="37"/>
      <c r="AW48" s="35">
        <v>100.75</v>
      </c>
      <c r="AX48" s="36"/>
      <c r="AY48" s="35">
        <v>79.35</v>
      </c>
      <c r="AZ48" s="36"/>
      <c r="BA48" s="35">
        <v>75.27</v>
      </c>
      <c r="BB48" s="36"/>
      <c r="BC48" s="35">
        <v>70.75</v>
      </c>
      <c r="BD48" s="36"/>
      <c r="BE48" s="35">
        <v>75.53</v>
      </c>
      <c r="BF48" s="36"/>
      <c r="BG48" s="35">
        <v>72.55</v>
      </c>
      <c r="BH48" s="36"/>
      <c r="BI48" s="35">
        <v>70.2</v>
      </c>
      <c r="BJ48" s="36"/>
      <c r="BK48" s="35">
        <v>68.7</v>
      </c>
      <c r="BL48" s="36"/>
      <c r="BM48" s="35">
        <v>68.2</v>
      </c>
      <c r="BN48" s="36"/>
      <c r="BO48" s="35">
        <v>67.74</v>
      </c>
      <c r="BP48" s="36"/>
      <c r="BQ48" s="35">
        <v>64.2</v>
      </c>
      <c r="BR48" s="36"/>
      <c r="BS48" s="35">
        <v>64.52</v>
      </c>
      <c r="BT48" s="36"/>
      <c r="BU48" s="35">
        <f t="shared" si="48"/>
        <v>877.76</v>
      </c>
      <c r="BV48" s="36"/>
      <c r="BW48" s="40"/>
      <c r="BX48" s="49"/>
      <c r="BY48" s="49"/>
      <c r="BZ48" s="49"/>
      <c r="CA48" s="49"/>
      <c r="CB48" s="49"/>
      <c r="CC48" s="49"/>
      <c r="CD48" s="50"/>
      <c r="CE48" s="49"/>
      <c r="CF48" s="50"/>
      <c r="CG48" s="50"/>
      <c r="CH48" s="50"/>
      <c r="CI48" s="50"/>
      <c r="CJ48" s="47"/>
    </row>
    <row r="49" ht="27" customHeight="1" spans="1:88">
      <c r="A49" s="29"/>
      <c r="B49" s="34" t="s">
        <v>297</v>
      </c>
      <c r="C49" s="35">
        <f>网约车!C37-网约车!C39</f>
        <v>32.116451951275</v>
      </c>
      <c r="D49" s="36">
        <f t="shared" si="37"/>
        <v>2.15707021353077</v>
      </c>
      <c r="E49" s="35">
        <f>网约车!E37-网约车!E39</f>
        <v>25.013334655659</v>
      </c>
      <c r="F49" s="36">
        <f t="shared" si="38"/>
        <v>1.29799469191437</v>
      </c>
      <c r="G49" s="35">
        <f>网约车!G37-网约车!G39</f>
        <v>32.679546371905</v>
      </c>
      <c r="H49" s="36">
        <f t="shared" si="39"/>
        <v>1.53659505530034</v>
      </c>
      <c r="I49" s="35">
        <f>网约车!I37-网约车!I39</f>
        <v>32.017500968946</v>
      </c>
      <c r="J49" s="36">
        <f t="shared" si="40"/>
        <v>1.1392232798945</v>
      </c>
      <c r="K49" s="35">
        <f>网约车!K37-网约车!K39</f>
        <v>37.692011145158</v>
      </c>
      <c r="L49" s="36">
        <f t="shared" si="41"/>
        <v>0.898645144138755</v>
      </c>
      <c r="M49" s="35">
        <f>网约车!M37-网约车!M39</f>
        <v>38.817604677877</v>
      </c>
      <c r="N49" s="36">
        <f t="shared" si="42"/>
        <v>1.11740021073913</v>
      </c>
      <c r="O49" s="35">
        <f>网约车!O37-网约车!O39</f>
        <v>40.322986465873</v>
      </c>
      <c r="P49" s="36">
        <f t="shared" si="43"/>
        <v>0.956645527727102</v>
      </c>
      <c r="Q49" s="127"/>
      <c r="R49" s="127"/>
      <c r="S49" s="131">
        <f t="shared" si="44"/>
        <v>238.659436236693</v>
      </c>
      <c r="T49" s="132">
        <f t="shared" si="45"/>
        <v>0.840213566595275</v>
      </c>
      <c r="U49" s="36"/>
      <c r="V49" s="35">
        <f>网约车!V37-网约车!V39</f>
        <v>10.172865910181</v>
      </c>
      <c r="W49" s="36">
        <f t="shared" si="49"/>
        <v>-0.35546822591184</v>
      </c>
      <c r="X49" s="35">
        <f>网约车!X37-网约车!X39</f>
        <v>10.8848531041738</v>
      </c>
      <c r="Y49" s="36">
        <f t="shared" si="50"/>
        <v>0.128521436852562</v>
      </c>
      <c r="Z49" s="35">
        <f>网约车!Z37-网约车!Z39</f>
        <v>12.8832334919283</v>
      </c>
      <c r="AA49" s="36">
        <f t="shared" si="51"/>
        <v>0.0318188471848364</v>
      </c>
      <c r="AB49" s="35">
        <f>网约车!AB37-网约车!AB39</f>
        <v>14.9668813301831</v>
      </c>
      <c r="AC49" s="36">
        <f t="shared" si="52"/>
        <v>0.132103730201821</v>
      </c>
      <c r="AD49" s="35">
        <f>网约车!AD37-网约车!AD39</f>
        <v>19.8520567476844</v>
      </c>
      <c r="AE49" s="36">
        <f t="shared" si="53"/>
        <v>0.373503870679934</v>
      </c>
      <c r="AF49" s="35">
        <f>网约车!AF37-网约车!AF39</f>
        <v>18.3326725297372</v>
      </c>
      <c r="AG49" s="36">
        <f t="shared" si="54"/>
        <v>0.531455837363189</v>
      </c>
      <c r="AH49" s="35">
        <f>网约车!AH37-网约车!AH39</f>
        <v>20.6082225392728</v>
      </c>
      <c r="AI49" s="36">
        <f t="shared" si="55"/>
        <v>0.438721946629995</v>
      </c>
      <c r="AJ49" s="35">
        <f>网约车!AJ37-网约车!AJ39</f>
        <v>21.9903765950646</v>
      </c>
      <c r="AK49" s="36">
        <f t="shared" si="56"/>
        <v>0.586389680475885</v>
      </c>
      <c r="AL49" s="35">
        <f>网约车!AL37-网约车!AL39</f>
        <v>20.5135663036571</v>
      </c>
      <c r="AM49" s="36">
        <f t="shared" si="57"/>
        <v>0.225460031757035</v>
      </c>
      <c r="AN49" s="35">
        <f>网约车!AN37-网约车!AN39</f>
        <v>32.51251865535</v>
      </c>
      <c r="AO49" s="36">
        <f t="shared" si="58"/>
        <v>0.904232956802587</v>
      </c>
      <c r="AP49" s="35">
        <f>网约车!AP37-网约车!AP39</f>
        <v>33.340134657393</v>
      </c>
      <c r="AQ49" s="36">
        <f t="shared" si="59"/>
        <v>0.918622129391644</v>
      </c>
      <c r="AR49" s="35">
        <f>网约车!AR37-网约车!AR39</f>
        <v>36.235499801842</v>
      </c>
      <c r="AS49" s="36">
        <f t="shared" si="60"/>
        <v>0.805096028377639</v>
      </c>
      <c r="AT49" s="35">
        <f t="shared" si="46"/>
        <v>252.292881666467</v>
      </c>
      <c r="AU49" s="36">
        <f t="shared" si="47"/>
        <v>0.425306431507386</v>
      </c>
      <c r="AV49" s="37"/>
      <c r="AW49" s="35">
        <v>15.7833427600569</v>
      </c>
      <c r="AX49" s="36"/>
      <c r="AY49" s="35">
        <v>9.64523379771285</v>
      </c>
      <c r="AZ49" s="36"/>
      <c r="BA49" s="35">
        <v>12.4859451124374</v>
      </c>
      <c r="BB49" s="36"/>
      <c r="BC49" s="35">
        <v>13.2204151712449</v>
      </c>
      <c r="BD49" s="36"/>
      <c r="BE49" s="35">
        <v>14.4535863141448</v>
      </c>
      <c r="BF49" s="36"/>
      <c r="BG49" s="35">
        <v>11.9707484097627</v>
      </c>
      <c r="BH49" s="36"/>
      <c r="BI49" s="35">
        <v>14.3239787142642</v>
      </c>
      <c r="BJ49" s="36"/>
      <c r="BK49" s="35">
        <v>13.861900935001</v>
      </c>
      <c r="BL49" s="36"/>
      <c r="BM49" s="35">
        <v>16.7394821308413</v>
      </c>
      <c r="BN49" s="36"/>
      <c r="BO49" s="35">
        <v>17.0738136524756</v>
      </c>
      <c r="BP49" s="36"/>
      <c r="BQ49" s="35">
        <v>17.3771240030284</v>
      </c>
      <c r="BR49" s="36"/>
      <c r="BS49" s="35">
        <v>20.0740011789895</v>
      </c>
      <c r="BT49" s="36"/>
      <c r="BU49" s="35">
        <f t="shared" si="48"/>
        <v>177.00957217996</v>
      </c>
      <c r="BV49" s="36"/>
      <c r="BW49" s="40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7"/>
    </row>
    <row r="50" s="13" customFormat="1" ht="27" customHeight="1" spans="1:88">
      <c r="A50" s="48" t="s">
        <v>101</v>
      </c>
      <c r="B50" s="34" t="s">
        <v>293</v>
      </c>
      <c r="C50" s="35">
        <f>C51+C52+C53+C54</f>
        <v>300.581697540454</v>
      </c>
      <c r="D50" s="36">
        <f t="shared" si="37"/>
        <v>0.680616289163418</v>
      </c>
      <c r="E50" s="35">
        <f>E51+E52+E53+E54</f>
        <v>314.286571078882</v>
      </c>
      <c r="F50" s="36">
        <f t="shared" si="38"/>
        <v>0.656616334248799</v>
      </c>
      <c r="G50" s="35">
        <f>G51+G52+G53+G54</f>
        <v>289.877435819156</v>
      </c>
      <c r="H50" s="36">
        <f t="shared" si="39"/>
        <v>0.644281786284014</v>
      </c>
      <c r="I50" s="35">
        <f>I51+I52+I53+I54</f>
        <v>283.650480107194</v>
      </c>
      <c r="J50" s="36">
        <f t="shared" si="40"/>
        <v>0.547561554667233</v>
      </c>
      <c r="K50" s="35">
        <f>K51+K52+K53+K54</f>
        <v>290.055032192114</v>
      </c>
      <c r="L50" s="36">
        <f t="shared" si="41"/>
        <v>0.578135149634973</v>
      </c>
      <c r="M50" s="35">
        <f>M51+M52+M53+M54</f>
        <v>285.228008776166</v>
      </c>
      <c r="N50" s="36">
        <f t="shared" si="42"/>
        <v>0.616107181777906</v>
      </c>
      <c r="O50" s="35">
        <f>O51+O52+O53+O54</f>
        <v>287.421598697666</v>
      </c>
      <c r="P50" s="36">
        <f t="shared" si="43"/>
        <v>-0.00479587393757175</v>
      </c>
      <c r="Q50" s="127"/>
      <c r="R50" s="127"/>
      <c r="S50" s="131">
        <f t="shared" si="44"/>
        <v>2051.10082421163</v>
      </c>
      <c r="T50" s="132">
        <f t="shared" si="45"/>
        <v>0.192463698019318</v>
      </c>
      <c r="U50" s="36"/>
      <c r="V50" s="35">
        <f>V51+V52+V53+V54</f>
        <v>178.852067231883</v>
      </c>
      <c r="W50" s="36">
        <f t="shared" si="49"/>
        <v>0.0199694817265097</v>
      </c>
      <c r="X50" s="35">
        <f>X51+X52+X53+X54</f>
        <v>189.715967771981</v>
      </c>
      <c r="Y50" s="36">
        <f t="shared" si="50"/>
        <v>0.0281701277858337</v>
      </c>
      <c r="Z50" s="35">
        <f>Z51+Z52+Z53+Z54</f>
        <v>176.294257004612</v>
      </c>
      <c r="AA50" s="36">
        <f t="shared" si="51"/>
        <v>0.0170482520171549</v>
      </c>
      <c r="AB50" s="35">
        <f>AB51+AB52+AB53+AB54</f>
        <v>183.288657728504</v>
      </c>
      <c r="AC50" s="36">
        <f t="shared" si="52"/>
        <v>0.0339296611862705</v>
      </c>
      <c r="AD50" s="35">
        <f>AD51+AD52+AD53+AD54</f>
        <v>183.796066046184</v>
      </c>
      <c r="AE50" s="36">
        <f t="shared" si="53"/>
        <v>-0.0201551350994914</v>
      </c>
      <c r="AF50" s="35">
        <f>AF51+AF52+AF53+AF54</f>
        <v>176.490774864562</v>
      </c>
      <c r="AG50" s="36">
        <f t="shared" si="54"/>
        <v>0.00145050316784601</v>
      </c>
      <c r="AH50" s="35">
        <f>AH51+AH52+AH53+AH54</f>
        <v>288.806679123069</v>
      </c>
      <c r="AI50" s="36">
        <f t="shared" si="55"/>
        <v>0.585711555068667</v>
      </c>
      <c r="AJ50" s="35">
        <f>AJ51+AJ52+AJ53+AJ54</f>
        <v>342.808583096567</v>
      </c>
      <c r="AK50" s="36">
        <f t="shared" si="56"/>
        <v>1.02113795039539</v>
      </c>
      <c r="AL50" s="35">
        <f>AL51+AL52+AL53+AL54</f>
        <v>320.107856935656</v>
      </c>
      <c r="AM50" s="36">
        <f t="shared" si="57"/>
        <v>0.963812483596504</v>
      </c>
      <c r="AN50" s="35">
        <f>AN51+AN52+AN53+AN54</f>
        <v>293.652551919792</v>
      </c>
      <c r="AO50" s="36">
        <f t="shared" si="58"/>
        <v>0.706477681751438</v>
      </c>
      <c r="AP50" s="35">
        <f>AP51+AP52+AP53+AP54</f>
        <v>278.976396121931</v>
      </c>
      <c r="AQ50" s="36">
        <f t="shared" si="59"/>
        <v>0.764438318715233</v>
      </c>
      <c r="AR50" s="35">
        <f>AR51+AR52+AR53+AR54</f>
        <v>289.109433805199</v>
      </c>
      <c r="AS50" s="36">
        <f t="shared" si="60"/>
        <v>0.810205290470539</v>
      </c>
      <c r="AT50" s="35">
        <f t="shared" si="46"/>
        <v>2901.89929164994</v>
      </c>
      <c r="AU50" s="36">
        <f t="shared" si="47"/>
        <v>0.395854291764571</v>
      </c>
      <c r="AV50" s="37"/>
      <c r="AW50" s="38">
        <f>AW51+AW52+AW53+AW54</f>
        <v>175.350410415358</v>
      </c>
      <c r="AX50" s="37"/>
      <c r="AY50" s="38">
        <f>AY51+AY52+AY53+AY54</f>
        <v>184.518070156866</v>
      </c>
      <c r="AZ50" s="37"/>
      <c r="BA50" s="38">
        <f>BA51+BA52+BA53+BA54</f>
        <v>173.339127868279</v>
      </c>
      <c r="BB50" s="37"/>
      <c r="BC50" s="38">
        <f>BC51+BC52+BC53+BC54</f>
        <v>177.273817174574</v>
      </c>
      <c r="BD50" s="37"/>
      <c r="BE50" s="38">
        <f>BE51+BE52+BE53+BE54</f>
        <v>187.576699771597</v>
      </c>
      <c r="BF50" s="37"/>
      <c r="BG50" s="38">
        <f>BG51+BG52+BG53+BG54</f>
        <v>176.235145228123</v>
      </c>
      <c r="BH50" s="37"/>
      <c r="BI50" s="38">
        <f>BI51+BI52+BI53+BI54</f>
        <v>182.130651819941</v>
      </c>
      <c r="BJ50" s="37"/>
      <c r="BK50" s="38">
        <f>BK51+BK52+BK53+BK54</f>
        <v>169.611670014659</v>
      </c>
      <c r="BL50" s="37"/>
      <c r="BM50" s="38">
        <f>BM51+BM52+BM53+BM54</f>
        <v>163.00327022538</v>
      </c>
      <c r="BN50" s="37"/>
      <c r="BO50" s="38">
        <f>BO51+BO52+BO53+BO54</f>
        <v>172.081097256662</v>
      </c>
      <c r="BP50" s="37"/>
      <c r="BQ50" s="38">
        <f>BQ51+BQ52+BQ53+BQ54</f>
        <v>158.110597102123</v>
      </c>
      <c r="BR50" s="37"/>
      <c r="BS50" s="38">
        <f>BS51+BS52+BS53+BS54</f>
        <v>159.710854524157</v>
      </c>
      <c r="BT50" s="37"/>
      <c r="BU50" s="38">
        <f t="shared" si="48"/>
        <v>2078.94141155772</v>
      </c>
      <c r="BV50" s="37"/>
      <c r="BW50" s="39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</row>
    <row r="51" s="14" customFormat="1" ht="27" customHeight="1" spans="1:88">
      <c r="A51" s="45"/>
      <c r="B51" s="34" t="s">
        <v>294</v>
      </c>
      <c r="C51" s="35">
        <f>班线包车!C36</f>
        <v>133.6683</v>
      </c>
      <c r="D51" s="36">
        <f t="shared" si="37"/>
        <v>-0.187403530678384</v>
      </c>
      <c r="E51" s="35">
        <f>班线包车!E36</f>
        <v>143.6103</v>
      </c>
      <c r="F51" s="36">
        <f t="shared" si="38"/>
        <v>-0.168301470251826</v>
      </c>
      <c r="G51" s="35">
        <f>班线包车!G36</f>
        <v>139.5382</v>
      </c>
      <c r="H51" s="36">
        <f t="shared" si="39"/>
        <v>-0.116878135964801</v>
      </c>
      <c r="I51" s="35">
        <f>班线包车!I36</f>
        <v>141.171</v>
      </c>
      <c r="J51" s="36">
        <f t="shared" si="40"/>
        <v>-0.128995059795173</v>
      </c>
      <c r="K51" s="35">
        <f>班线包车!K36</f>
        <v>140.9257</v>
      </c>
      <c r="L51" s="36">
        <f t="shared" si="41"/>
        <v>-0.138319975346627</v>
      </c>
      <c r="M51" s="35">
        <f>班线包车!M36</f>
        <v>134.7257</v>
      </c>
      <c r="N51" s="36">
        <f t="shared" si="42"/>
        <v>-0.163781840210386</v>
      </c>
      <c r="O51" s="35">
        <f>班线包车!O36</f>
        <v>137.6465</v>
      </c>
      <c r="P51" s="36">
        <f t="shared" si="43"/>
        <v>-0.176346018864639</v>
      </c>
      <c r="Q51" s="127"/>
      <c r="R51" s="127"/>
      <c r="S51" s="131">
        <f t="shared" si="44"/>
        <v>971.2857</v>
      </c>
      <c r="T51" s="132">
        <f t="shared" si="45"/>
        <v>-0.259640554885202</v>
      </c>
      <c r="U51" s="36"/>
      <c r="V51" s="35">
        <f>班线包车!V36</f>
        <v>164.4953</v>
      </c>
      <c r="W51" s="36">
        <f t="shared" si="49"/>
        <v>0.045928044452894</v>
      </c>
      <c r="X51" s="35">
        <f>班线包车!X36</f>
        <v>172.6711</v>
      </c>
      <c r="Y51" s="36">
        <f t="shared" si="50"/>
        <v>0.038111751263588</v>
      </c>
      <c r="Z51" s="35">
        <f>班线包车!Z36</f>
        <v>158.0056</v>
      </c>
      <c r="AA51" s="36">
        <f t="shared" si="51"/>
        <v>0.0111335941709572</v>
      </c>
      <c r="AB51" s="35">
        <f>班线包车!AB36</f>
        <v>162.0783</v>
      </c>
      <c r="AC51" s="36">
        <f t="shared" si="52"/>
        <v>0.0135506286606211</v>
      </c>
      <c r="AD51" s="35">
        <f>班线包车!AD36</f>
        <v>163.5476</v>
      </c>
      <c r="AE51" s="36">
        <f t="shared" si="53"/>
        <v>-0.0362233307502601</v>
      </c>
      <c r="AF51" s="35">
        <f>班线包车!AF36</f>
        <v>161.1131</v>
      </c>
      <c r="AG51" s="36">
        <f t="shared" si="54"/>
        <v>0.00408081102691482</v>
      </c>
      <c r="AH51" s="35">
        <f>班线包车!AH36</f>
        <v>167.1169</v>
      </c>
      <c r="AI51" s="36">
        <f t="shared" si="55"/>
        <v>0.00829663971309569</v>
      </c>
      <c r="AJ51" s="35">
        <f>班线包车!AJ36</f>
        <v>162.8831</v>
      </c>
      <c r="AK51" s="36">
        <f t="shared" si="56"/>
        <v>0.0498894246666466</v>
      </c>
      <c r="AL51" s="35">
        <f>班线包车!AL36</f>
        <v>136.8044</v>
      </c>
      <c r="AM51" s="36">
        <f t="shared" si="57"/>
        <v>-0.0722313813067418</v>
      </c>
      <c r="AN51" s="35">
        <f>班线包车!AN36</f>
        <v>145.8738</v>
      </c>
      <c r="AO51" s="36">
        <f t="shared" si="58"/>
        <v>-0.0661584563688359</v>
      </c>
      <c r="AP51" s="35">
        <f>班线包车!AP36</f>
        <v>133.7493</v>
      </c>
      <c r="AQ51" s="36">
        <f t="shared" si="59"/>
        <v>-0.0632621759045258</v>
      </c>
      <c r="AR51" s="35">
        <f>班线包车!AR36</f>
        <v>132.9524</v>
      </c>
      <c r="AS51" s="36">
        <f t="shared" si="60"/>
        <v>-0.0789657446560887</v>
      </c>
      <c r="AT51" s="35">
        <f t="shared" si="46"/>
        <v>1861.2909</v>
      </c>
      <c r="AU51" s="36">
        <f t="shared" si="47"/>
        <v>-0.010801780618646</v>
      </c>
      <c r="AV51" s="37"/>
      <c r="AW51" s="35">
        <v>157.2721</v>
      </c>
      <c r="AX51" s="36"/>
      <c r="AY51" s="35">
        <v>166.3319</v>
      </c>
      <c r="AZ51" s="36"/>
      <c r="BA51" s="35">
        <v>156.2658</v>
      </c>
      <c r="BB51" s="36"/>
      <c r="BC51" s="35">
        <v>159.9114</v>
      </c>
      <c r="BD51" s="36"/>
      <c r="BE51" s="35">
        <v>169.6945</v>
      </c>
      <c r="BF51" s="36"/>
      <c r="BG51" s="35">
        <v>160.4583</v>
      </c>
      <c r="BH51" s="36"/>
      <c r="BI51" s="35">
        <v>165.7418</v>
      </c>
      <c r="BJ51" s="36"/>
      <c r="BK51" s="35">
        <v>155.1431</v>
      </c>
      <c r="BL51" s="36"/>
      <c r="BM51" s="35">
        <v>147.4553</v>
      </c>
      <c r="BN51" s="36"/>
      <c r="BO51" s="35">
        <v>156.2083</v>
      </c>
      <c r="BP51" s="36"/>
      <c r="BQ51" s="35">
        <v>142.782</v>
      </c>
      <c r="BR51" s="36"/>
      <c r="BS51" s="35">
        <v>144.3512</v>
      </c>
      <c r="BT51" s="36"/>
      <c r="BU51" s="35">
        <f t="shared" si="48"/>
        <v>1881.6157</v>
      </c>
      <c r="BV51" s="36"/>
      <c r="BW51" s="40"/>
      <c r="BX51" s="46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7"/>
    </row>
    <row r="52" s="14" customFormat="1" ht="27" customHeight="1" spans="1:88">
      <c r="A52" s="45"/>
      <c r="B52" s="34" t="s">
        <v>295</v>
      </c>
      <c r="C52" s="35">
        <f>公交!C41-公交!C43</f>
        <v>8.19999999999993</v>
      </c>
      <c r="D52" s="36">
        <f t="shared" si="37"/>
        <v>-0.176706827309237</v>
      </c>
      <c r="E52" s="35">
        <f>公交!E41-公交!E43</f>
        <v>8.23000000000002</v>
      </c>
      <c r="F52" s="36">
        <f t="shared" si="38"/>
        <v>-0.175350701402805</v>
      </c>
      <c r="G52" s="35">
        <f>公交!G41-公交!G43</f>
        <v>8.26999999999998</v>
      </c>
      <c r="H52" s="36">
        <f t="shared" si="39"/>
        <v>-0.170511534603816</v>
      </c>
      <c r="I52" s="35">
        <f>公交!I41-公交!I43</f>
        <v>8.27999999999997</v>
      </c>
      <c r="J52" s="36">
        <f t="shared" si="40"/>
        <v>-0.17034068136272</v>
      </c>
      <c r="K52" s="35">
        <f>公交!K41-公交!K43</f>
        <v>8.28999999999996</v>
      </c>
      <c r="L52" s="36">
        <f t="shared" si="41"/>
        <v>-0.171000000000004</v>
      </c>
      <c r="M52" s="35">
        <f>公交!M41-公交!M43</f>
        <v>8.29999999999995</v>
      </c>
      <c r="N52" s="36">
        <f t="shared" si="42"/>
        <v>0.202898550724635</v>
      </c>
      <c r="O52" s="35">
        <f>公交!O41-公交!O43</f>
        <v>8.32000000000005</v>
      </c>
      <c r="P52" s="36">
        <f t="shared" si="43"/>
        <v>0.124324324324317</v>
      </c>
      <c r="Q52" s="127"/>
      <c r="R52" s="127"/>
      <c r="S52" s="131">
        <f t="shared" si="44"/>
        <v>57.8899999999999</v>
      </c>
      <c r="T52" s="132">
        <f t="shared" si="45"/>
        <v>-0.20030390937975</v>
      </c>
      <c r="U52" s="36"/>
      <c r="V52" s="35">
        <f>公交!V41-公交!V43</f>
        <v>9.95999999999992</v>
      </c>
      <c r="W52" s="36">
        <f t="shared" si="49"/>
        <v>-0.0216110019646345</v>
      </c>
      <c r="X52" s="35">
        <f>公交!X41-公交!X43</f>
        <v>9.98000000000002</v>
      </c>
      <c r="Y52" s="36">
        <f t="shared" si="50"/>
        <v>-0.0167487684729046</v>
      </c>
      <c r="Z52" s="35">
        <f>公交!Z41-公交!Z43</f>
        <v>9.97000000000003</v>
      </c>
      <c r="AA52" s="36">
        <f t="shared" si="51"/>
        <v>-0.0177339901477805</v>
      </c>
      <c r="AB52" s="35">
        <f>公交!AB41-公交!AB43</f>
        <v>9.9799999999999</v>
      </c>
      <c r="AC52" s="36">
        <f t="shared" si="52"/>
        <v>-0.0177165354330803</v>
      </c>
      <c r="AD52" s="35">
        <f>公交!AD41-公交!AD43</f>
        <v>10</v>
      </c>
      <c r="AE52" s="36">
        <f t="shared" si="53"/>
        <v>-0.015748031496063</v>
      </c>
      <c r="AF52" s="35">
        <f>公交!AF41-公交!AF43</f>
        <v>6.89999999999998</v>
      </c>
      <c r="AG52" s="36">
        <f t="shared" si="54"/>
        <v>-0.320866141732286</v>
      </c>
      <c r="AH52" s="35">
        <f>公交!AH41-公交!AH43</f>
        <v>7.40000000000009</v>
      </c>
      <c r="AI52" s="36">
        <f t="shared" si="55"/>
        <v>-0.277343749999991</v>
      </c>
      <c r="AJ52" s="35">
        <f>公交!AJ41-公交!AJ43</f>
        <v>8.20000000000005</v>
      </c>
      <c r="AK52" s="36">
        <f t="shared" si="56"/>
        <v>-0.199999999999996</v>
      </c>
      <c r="AL52" s="35">
        <f>公交!AL41-公交!AL43</f>
        <v>8.17999999999995</v>
      </c>
      <c r="AM52" s="36">
        <f t="shared" si="57"/>
        <v>-0.182000000000005</v>
      </c>
      <c r="AN52" s="35">
        <f>公交!AN41-公交!AN43</f>
        <v>8.18999999999994</v>
      </c>
      <c r="AO52" s="36">
        <f t="shared" si="58"/>
        <v>-0.182634730538928</v>
      </c>
      <c r="AP52" s="35">
        <f>公交!AP41-公交!AP43</f>
        <v>8.21000000000004</v>
      </c>
      <c r="AQ52" s="36">
        <f t="shared" si="59"/>
        <v>-0.173212487411885</v>
      </c>
      <c r="AR52" s="35">
        <f>公交!AR41-公交!AR43</f>
        <v>8.21000000000004</v>
      </c>
      <c r="AS52" s="36">
        <f t="shared" si="60"/>
        <v>-0.173212487411885</v>
      </c>
      <c r="AT52" s="35">
        <f t="shared" si="46"/>
        <v>105.18</v>
      </c>
      <c r="AU52" s="36">
        <f t="shared" si="47"/>
        <v>-0.133108052419023</v>
      </c>
      <c r="AV52" s="37"/>
      <c r="AW52" s="35">
        <v>10.1799999999999</v>
      </c>
      <c r="AX52" s="36"/>
      <c r="AY52" s="35">
        <v>10.15</v>
      </c>
      <c r="AZ52" s="36"/>
      <c r="BA52" s="35">
        <v>10.15</v>
      </c>
      <c r="BB52" s="36"/>
      <c r="BC52" s="35">
        <v>10.16</v>
      </c>
      <c r="BD52" s="36"/>
      <c r="BE52" s="35">
        <v>10.16</v>
      </c>
      <c r="BF52" s="36"/>
      <c r="BG52" s="35">
        <v>10.16</v>
      </c>
      <c r="BH52" s="36"/>
      <c r="BI52" s="35">
        <v>10.24</v>
      </c>
      <c r="BJ52" s="36"/>
      <c r="BK52" s="35">
        <v>10.25</v>
      </c>
      <c r="BL52" s="36"/>
      <c r="BM52" s="35">
        <v>10</v>
      </c>
      <c r="BN52" s="36"/>
      <c r="BO52" s="35">
        <v>10.02</v>
      </c>
      <c r="BP52" s="36"/>
      <c r="BQ52" s="35">
        <v>9.93000000000006</v>
      </c>
      <c r="BR52" s="36"/>
      <c r="BS52" s="35">
        <v>9.93000000000006</v>
      </c>
      <c r="BT52" s="36"/>
      <c r="BU52" s="35">
        <f t="shared" si="48"/>
        <v>121.33</v>
      </c>
      <c r="BV52" s="36"/>
      <c r="BW52" s="40"/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7"/>
    </row>
    <row r="53" s="14" customFormat="1" ht="27" customHeight="1" spans="1:88">
      <c r="A53" s="45"/>
      <c r="B53" s="34" t="s">
        <v>296</v>
      </c>
      <c r="C53" s="35">
        <f>出租!C41-出租!C43</f>
        <v>125.3</v>
      </c>
      <c r="D53" s="36">
        <f t="shared" si="37"/>
        <v>47.945312500001</v>
      </c>
      <c r="E53" s="35">
        <f>出租!E41-出租!E43</f>
        <v>128.79</v>
      </c>
      <c r="F53" s="36">
        <f t="shared" si="38"/>
        <v>54.5129310344843</v>
      </c>
      <c r="G53" s="35">
        <f>出租!G41-出租!G43</f>
        <v>105.59</v>
      </c>
      <c r="H53" s="36">
        <f t="shared" si="39"/>
        <v>43.9319148936166</v>
      </c>
      <c r="I53" s="35">
        <f>出租!I41-出租!I43</f>
        <v>98.8499999999999</v>
      </c>
      <c r="J53" s="36">
        <f t="shared" si="40"/>
        <v>44.7638888888895</v>
      </c>
      <c r="K53" s="35">
        <f>出租!K41-出租!K43</f>
        <v>102.4</v>
      </c>
      <c r="L53" s="36">
        <f t="shared" si="41"/>
        <v>43.9122807017549</v>
      </c>
      <c r="M53" s="35">
        <f>出租!M41-出租!M43</f>
        <v>100.78</v>
      </c>
      <c r="N53" s="36">
        <f t="shared" si="42"/>
        <v>45.6574074074081</v>
      </c>
      <c r="O53" s="35">
        <f>出租!O41-出租!O43</f>
        <v>96.82</v>
      </c>
      <c r="P53" s="36">
        <f t="shared" si="43"/>
        <v>0.0837250951421538</v>
      </c>
      <c r="Q53" s="127"/>
      <c r="R53" s="127"/>
      <c r="S53" s="131">
        <f t="shared" si="44"/>
        <v>758.53</v>
      </c>
      <c r="T53" s="132">
        <f t="shared" si="45"/>
        <v>2.14052084627169</v>
      </c>
      <c r="U53" s="36"/>
      <c r="V53" s="35">
        <f>出租!V41-出租!V43</f>
        <v>2.55999999999995</v>
      </c>
      <c r="W53" s="36">
        <f t="shared" si="49"/>
        <v>-0.0824372759856695</v>
      </c>
      <c r="X53" s="35">
        <f>出租!X41-出租!X43</f>
        <v>2.31999999999994</v>
      </c>
      <c r="Y53" s="36">
        <f t="shared" si="50"/>
        <v>-0.609427609427616</v>
      </c>
      <c r="Z53" s="35">
        <f>出租!Z41-出租!Z43</f>
        <v>2.35000000000002</v>
      </c>
      <c r="AA53" s="36">
        <f t="shared" si="51"/>
        <v>-0.0856031128404366</v>
      </c>
      <c r="AB53" s="35">
        <f>出租!AB41-出租!AB43</f>
        <v>2.15999999999997</v>
      </c>
      <c r="AC53" s="36">
        <f t="shared" si="52"/>
        <v>-0.107438016528965</v>
      </c>
      <c r="AD53" s="35">
        <f>出租!AD41-出租!AD43</f>
        <v>2.27999999999997</v>
      </c>
      <c r="AE53" s="36">
        <f t="shared" si="53"/>
        <v>-0.0214592274677934</v>
      </c>
      <c r="AF53" s="35">
        <f>出租!AF41-出租!AF43</f>
        <v>2.15999999999997</v>
      </c>
      <c r="AG53" s="36">
        <f t="shared" si="54"/>
        <v>-0.0886075949367223</v>
      </c>
      <c r="AH53" s="35">
        <f>出租!AH41-出租!AH43</f>
        <v>89.34</v>
      </c>
      <c r="AI53" s="36">
        <f t="shared" si="55"/>
        <v>35.7654320987662</v>
      </c>
      <c r="AJ53" s="35">
        <f>出租!AJ41-出租!AJ43</f>
        <v>138.36</v>
      </c>
      <c r="AK53" s="36">
        <f t="shared" si="56"/>
        <v>59.6842105263166</v>
      </c>
      <c r="AL53" s="35">
        <f>出租!AL41-出租!AL43</f>
        <v>143.74</v>
      </c>
      <c r="AM53" s="36">
        <f t="shared" si="57"/>
        <v>68.4396135265721</v>
      </c>
      <c r="AN53" s="35">
        <f>出租!AN41-出租!AN43</f>
        <v>113.58</v>
      </c>
      <c r="AO53" s="36">
        <f t="shared" si="58"/>
        <v>52.8293838862556</v>
      </c>
      <c r="AP53" s="35">
        <f>出租!AP41-出租!AP43</f>
        <v>112.75</v>
      </c>
      <c r="AQ53" s="36">
        <f t="shared" si="59"/>
        <v>53.7330097087363</v>
      </c>
      <c r="AR53" s="35">
        <f>出租!AR41-出租!AR43</f>
        <v>116.96</v>
      </c>
      <c r="AS53" s="36">
        <f t="shared" si="60"/>
        <v>52.8986175115217</v>
      </c>
      <c r="AT53" s="35">
        <f t="shared" si="46"/>
        <v>728.56</v>
      </c>
      <c r="AU53" s="36">
        <f t="shared" si="47"/>
        <v>22.0995561192139</v>
      </c>
      <c r="AV53" s="37"/>
      <c r="AW53" s="35">
        <v>2.78999999999996</v>
      </c>
      <c r="AX53" s="36"/>
      <c r="AY53" s="35">
        <v>5.93999999999994</v>
      </c>
      <c r="AZ53" s="36"/>
      <c r="BA53" s="35">
        <v>2.56999999999994</v>
      </c>
      <c r="BB53" s="36"/>
      <c r="BC53" s="35">
        <v>2.42000000000007</v>
      </c>
      <c r="BD53" s="36"/>
      <c r="BE53" s="35">
        <v>2.32999999999993</v>
      </c>
      <c r="BF53" s="36"/>
      <c r="BG53" s="35">
        <v>2.37</v>
      </c>
      <c r="BH53" s="36"/>
      <c r="BI53" s="35">
        <v>2.42999999999995</v>
      </c>
      <c r="BJ53" s="36"/>
      <c r="BK53" s="35">
        <v>2.27999999999997</v>
      </c>
      <c r="BL53" s="36"/>
      <c r="BM53" s="35">
        <v>2.06999999999994</v>
      </c>
      <c r="BN53" s="36"/>
      <c r="BO53" s="35">
        <v>2.11000000000001</v>
      </c>
      <c r="BP53" s="36"/>
      <c r="BQ53" s="35">
        <v>2.06000000000006</v>
      </c>
      <c r="BR53" s="36"/>
      <c r="BS53" s="35">
        <v>2.16999999999996</v>
      </c>
      <c r="BT53" s="36"/>
      <c r="BU53" s="35">
        <f t="shared" si="48"/>
        <v>31.5399999999997</v>
      </c>
      <c r="BV53" s="36"/>
      <c r="BW53" s="40"/>
      <c r="BX53" s="46"/>
      <c r="BY53" s="46"/>
      <c r="BZ53" s="46"/>
      <c r="CA53" s="46"/>
      <c r="CB53" s="46"/>
      <c r="CC53" s="46"/>
      <c r="CD53" s="41"/>
      <c r="CE53" s="46"/>
      <c r="CF53" s="41"/>
      <c r="CG53" s="41"/>
      <c r="CH53" s="41"/>
      <c r="CI53" s="41"/>
      <c r="CJ53" s="47"/>
    </row>
    <row r="54" s="14" customFormat="1" ht="29.1" customHeight="1" spans="1:88">
      <c r="A54" s="29"/>
      <c r="B54" s="34" t="s">
        <v>297</v>
      </c>
      <c r="C54" s="35">
        <f>网约车!C41-网约车!C43</f>
        <v>33.413397540454</v>
      </c>
      <c r="D54" s="36">
        <f t="shared" si="37"/>
        <v>17.1914163974879</v>
      </c>
      <c r="E54" s="35">
        <f>网约车!E41-网约车!E43</f>
        <v>33.656271078882</v>
      </c>
      <c r="F54" s="36">
        <f t="shared" si="38"/>
        <v>6.09319473086865</v>
      </c>
      <c r="G54" s="35">
        <f>网约车!G41-网约车!G43</f>
        <v>36.479235819156</v>
      </c>
      <c r="H54" s="36">
        <f t="shared" si="39"/>
        <v>5.11179965459068</v>
      </c>
      <c r="I54" s="35">
        <f>网约车!I41-网约车!I43</f>
        <v>35.349480107194</v>
      </c>
      <c r="J54" s="36">
        <f t="shared" si="40"/>
        <v>2.89725313656667</v>
      </c>
      <c r="K54" s="35">
        <f>网约车!K41-网约车!K43</f>
        <v>38.439332192114</v>
      </c>
      <c r="L54" s="36">
        <f t="shared" si="41"/>
        <v>3.82393122708003</v>
      </c>
      <c r="M54" s="35">
        <f>网约车!M41-网约车!M43</f>
        <v>41.422308776166</v>
      </c>
      <c r="N54" s="36">
        <f t="shared" si="42"/>
        <v>5.55657495268046</v>
      </c>
      <c r="O54" s="35">
        <f>网约车!O41-网约车!O43</f>
        <v>44.635098697666</v>
      </c>
      <c r="P54" s="36">
        <f t="shared" si="43"/>
        <v>0.788997749338614</v>
      </c>
      <c r="Q54" s="127"/>
      <c r="R54" s="127"/>
      <c r="S54" s="131">
        <f t="shared" si="44"/>
        <v>263.395124211632</v>
      </c>
      <c r="T54" s="132">
        <f t="shared" si="45"/>
        <v>1.79547214474745</v>
      </c>
      <c r="U54" s="36"/>
      <c r="V54" s="35">
        <f>网约车!V41-网约车!V43</f>
        <v>1.8367672318835</v>
      </c>
      <c r="W54" s="36">
        <f t="shared" si="49"/>
        <v>-0.640435470334517</v>
      </c>
      <c r="X54" s="35">
        <f>网约车!X41-网约车!X43</f>
        <v>4.74486777198071</v>
      </c>
      <c r="Y54" s="36">
        <f t="shared" si="50"/>
        <v>1.26358902994493</v>
      </c>
      <c r="Z54" s="35">
        <f>网约车!Z41-网约车!Z43</f>
        <v>5.9686570046117</v>
      </c>
      <c r="AA54" s="36">
        <f t="shared" si="51"/>
        <v>0.371056163286545</v>
      </c>
      <c r="AB54" s="35">
        <f>网约车!AB41-网约车!AB43</f>
        <v>9.07035772850401</v>
      </c>
      <c r="AC54" s="36">
        <f t="shared" si="52"/>
        <v>0.896605293391739</v>
      </c>
      <c r="AD54" s="35">
        <f>网约车!AD41-网约车!AD43</f>
        <v>7.96846604618401</v>
      </c>
      <c r="AE54" s="36">
        <f t="shared" si="53"/>
        <v>0.477776488949242</v>
      </c>
      <c r="AF54" s="35">
        <f>网约车!AF41-网约车!AF43</f>
        <v>6.31767486456198</v>
      </c>
      <c r="AG54" s="36">
        <f t="shared" si="54"/>
        <v>0.945788733580864</v>
      </c>
      <c r="AH54" s="35">
        <f>网约车!AH41-网约车!AH43</f>
        <v>24.949779123069</v>
      </c>
      <c r="AI54" s="36">
        <f t="shared" si="55"/>
        <v>5.70900060854326</v>
      </c>
      <c r="AJ54" s="35">
        <f>网约车!AJ41-网约车!AJ43</f>
        <v>33.365483096567</v>
      </c>
      <c r="AK54" s="36">
        <f t="shared" si="56"/>
        <v>16.2113892427193</v>
      </c>
      <c r="AL54" s="35">
        <f>网约车!AL41-网约车!AL43</f>
        <v>31.3834569356564</v>
      </c>
      <c r="AM54" s="36">
        <f t="shared" si="57"/>
        <v>8.02349787431653</v>
      </c>
      <c r="AN54" s="35">
        <f>网约车!AN41-网约车!AN43</f>
        <v>26.008751919792</v>
      </c>
      <c r="AO54" s="36">
        <f t="shared" si="58"/>
        <v>5.94901436980049</v>
      </c>
      <c r="AP54" s="35">
        <f>网约车!AP41-网约车!AP43</f>
        <v>24.267096121931</v>
      </c>
      <c r="AQ54" s="36">
        <f t="shared" si="59"/>
        <v>6.26865068759041</v>
      </c>
      <c r="AR54" s="35">
        <f>网约车!AR41-网约车!AR43</f>
        <v>30.987033805199</v>
      </c>
      <c r="AS54" s="36">
        <f t="shared" si="60"/>
        <v>8.50623250886246</v>
      </c>
      <c r="AT54" s="35">
        <f t="shared" si="46"/>
        <v>206.86839164994</v>
      </c>
      <c r="AU54" s="36">
        <f t="shared" si="47"/>
        <v>3.65335913882177</v>
      </c>
      <c r="AV54" s="37"/>
      <c r="AW54" s="35">
        <v>5.10831041535803</v>
      </c>
      <c r="AX54" s="36"/>
      <c r="AY54" s="35">
        <v>2.09617015686639</v>
      </c>
      <c r="AZ54" s="36"/>
      <c r="BA54" s="35">
        <v>4.35332786827951</v>
      </c>
      <c r="BB54" s="36"/>
      <c r="BC54" s="35">
        <v>4.78241717457368</v>
      </c>
      <c r="BD54" s="36"/>
      <c r="BE54" s="35">
        <v>5.39219977159733</v>
      </c>
      <c r="BF54" s="36"/>
      <c r="BG54" s="35">
        <v>3.24684522812272</v>
      </c>
      <c r="BH54" s="36"/>
      <c r="BI54" s="35">
        <v>3.71885181994139</v>
      </c>
      <c r="BJ54" s="36"/>
      <c r="BK54" s="35">
        <v>1.9385700146594</v>
      </c>
      <c r="BL54" s="36"/>
      <c r="BM54" s="35">
        <v>3.47797022538042</v>
      </c>
      <c r="BN54" s="36"/>
      <c r="BO54" s="35">
        <v>3.7427972566617</v>
      </c>
      <c r="BP54" s="36"/>
      <c r="BQ54" s="35">
        <v>3.33859710212263</v>
      </c>
      <c r="BR54" s="36"/>
      <c r="BS54" s="35">
        <v>3.2596545241567</v>
      </c>
      <c r="BT54" s="36"/>
      <c r="BU54" s="35">
        <f t="shared" si="48"/>
        <v>44.4557115577199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s="15" customFormat="1" ht="27" customHeight="1" spans="1:88">
      <c r="A55" s="48" t="s">
        <v>102</v>
      </c>
      <c r="B55" s="34" t="s">
        <v>293</v>
      </c>
      <c r="C55" s="35">
        <f>C56+C57+C58+C59</f>
        <v>419.825340055154</v>
      </c>
      <c r="D55" s="36">
        <f t="shared" si="37"/>
        <v>0.0522878969743878</v>
      </c>
      <c r="E55" s="35">
        <f>E56+E57+E58+E59</f>
        <v>428.943462491855</v>
      </c>
      <c r="F55" s="36">
        <f t="shared" si="38"/>
        <v>0.0473667852985906</v>
      </c>
      <c r="G55" s="35">
        <f>G56+G57+G58+G59</f>
        <v>437.659470083526</v>
      </c>
      <c r="H55" s="36">
        <f t="shared" si="39"/>
        <v>0.0892622742019327</v>
      </c>
      <c r="I55" s="35">
        <f>I56+I57+I58+I59</f>
        <v>445.046454628413</v>
      </c>
      <c r="J55" s="36">
        <f t="shared" si="40"/>
        <v>0.1123396332653</v>
      </c>
      <c r="K55" s="35">
        <f>K56+K57+K58+K59</f>
        <v>456.708058513067</v>
      </c>
      <c r="L55" s="36">
        <f t="shared" si="41"/>
        <v>0.151634103742208</v>
      </c>
      <c r="M55" s="35">
        <f>M56+M57+M58+M59</f>
        <v>441.798283905382</v>
      </c>
      <c r="N55" s="36">
        <f t="shared" si="42"/>
        <v>0.117757809018602</v>
      </c>
      <c r="O55" s="35">
        <f>O56+O57+O58+O59</f>
        <v>424.528134981912</v>
      </c>
      <c r="P55" s="36">
        <f t="shared" si="43"/>
        <v>0.0335548794539253</v>
      </c>
      <c r="Q55" s="127"/>
      <c r="R55" s="127"/>
      <c r="S55" s="131">
        <f t="shared" si="44"/>
        <v>3054.50920465931</v>
      </c>
      <c r="T55" s="132">
        <f t="shared" si="45"/>
        <v>-0.0554459313135696</v>
      </c>
      <c r="U55" s="36"/>
      <c r="V55" s="35">
        <f>V56+V57+V58+V59</f>
        <v>398.964334059401</v>
      </c>
      <c r="W55" s="36">
        <f t="shared" si="49"/>
        <v>0.126487845007641</v>
      </c>
      <c r="X55" s="35">
        <f>X56+X57+X58+X59</f>
        <v>409.544649031016</v>
      </c>
      <c r="Y55" s="36">
        <f t="shared" si="50"/>
        <v>0.232837467076989</v>
      </c>
      <c r="Z55" s="35">
        <f>Z56+Z57+Z58+Z59</f>
        <v>401.794389146714</v>
      </c>
      <c r="AA55" s="36">
        <f t="shared" si="51"/>
        <v>0.20343507472973</v>
      </c>
      <c r="AB55" s="35">
        <f>AB56+AB57+AB58+AB59</f>
        <v>400.099431251918</v>
      </c>
      <c r="AC55" s="36">
        <f t="shared" si="52"/>
        <v>0.147032195753173</v>
      </c>
      <c r="AD55" s="35">
        <f>AD56+AD57+AD58+AD59</f>
        <v>396.573926587451</v>
      </c>
      <c r="AE55" s="36">
        <f t="shared" si="53"/>
        <v>0.155286463596122</v>
      </c>
      <c r="AF55" s="35">
        <f>AF56+AF57+AF58+AF59</f>
        <v>395.25403476562</v>
      </c>
      <c r="AG55" s="36">
        <f t="shared" si="54"/>
        <v>0.168893266969758</v>
      </c>
      <c r="AH55" s="35">
        <f>AH56+AH57+AH58+AH59</f>
        <v>410.74561537188</v>
      </c>
      <c r="AI55" s="36">
        <f t="shared" si="55"/>
        <v>0.232397473266741</v>
      </c>
      <c r="AJ55" s="35">
        <f>AJ56+AJ57+AJ58+AJ59</f>
        <v>420.834479239652</v>
      </c>
      <c r="AK55" s="36">
        <f t="shared" si="56"/>
        <v>0.119411220954224</v>
      </c>
      <c r="AL55" s="35">
        <f>AL56+AL57+AL58+AL59</f>
        <v>429.517110333672</v>
      </c>
      <c r="AM55" s="36">
        <f t="shared" si="57"/>
        <v>0.0153923227769521</v>
      </c>
      <c r="AN55" s="35">
        <f>AN56+AN57+AN58+AN59</f>
        <v>469.450202758492</v>
      </c>
      <c r="AO55" s="36">
        <f t="shared" si="58"/>
        <v>0.0590488083004821</v>
      </c>
      <c r="AP55" s="35">
        <f>AP56+AP57+AP58+AP59</f>
        <v>428.840999681525</v>
      </c>
      <c r="AQ55" s="36">
        <f t="shared" si="59"/>
        <v>0.0607191494201009</v>
      </c>
      <c r="AR55" s="35">
        <f>AR56+AR57+AR58+AR59</f>
        <v>416.916775451509</v>
      </c>
      <c r="AS55" s="36">
        <f t="shared" si="60"/>
        <v>0.0599715973784287</v>
      </c>
      <c r="AT55" s="35">
        <f t="shared" si="46"/>
        <v>4978.53594767885</v>
      </c>
      <c r="AU55" s="36">
        <f t="shared" si="47"/>
        <v>0.125449792143543</v>
      </c>
      <c r="AV55" s="37"/>
      <c r="AW55" s="38">
        <f>AW56+AW57+AW58+AW59</f>
        <v>354.166568088175</v>
      </c>
      <c r="AX55" s="37"/>
      <c r="AY55" s="38">
        <f>AY56+AY57+AY58+AY59</f>
        <v>332.19678989967</v>
      </c>
      <c r="AZ55" s="37"/>
      <c r="BA55" s="38">
        <f>BA56+BA57+BA58+BA59</f>
        <v>333.872925580925</v>
      </c>
      <c r="BB55" s="37"/>
      <c r="BC55" s="38">
        <f>BC56+BC57+BC58+BC59</f>
        <v>348.812729697793</v>
      </c>
      <c r="BD55" s="37"/>
      <c r="BE55" s="38">
        <f>BE56+BE57+BE58+BE59</f>
        <v>343.268911290637</v>
      </c>
      <c r="BF55" s="37"/>
      <c r="BG55" s="38">
        <f>BG56+BG57+BG58+BG59</f>
        <v>338.143820256813</v>
      </c>
      <c r="BH55" s="37"/>
      <c r="BI55" s="38">
        <f>BI56+BI57+BI58+BI59</f>
        <v>333.28988762295</v>
      </c>
      <c r="BJ55" s="37"/>
      <c r="BK55" s="38">
        <f>BK56+BK57+BK58+BK59</f>
        <v>375.942702165267</v>
      </c>
      <c r="BL55" s="37"/>
      <c r="BM55" s="38">
        <f>BM56+BM57+BM58+BM59</f>
        <v>423.006064453003</v>
      </c>
      <c r="BN55" s="37"/>
      <c r="BO55" s="38">
        <f>BO56+BO57+BO58+BO59</f>
        <v>443.275323175942</v>
      </c>
      <c r="BP55" s="37"/>
      <c r="BQ55" s="38">
        <f>BQ56+BQ57+BQ58+BQ59</f>
        <v>404.292691346219</v>
      </c>
      <c r="BR55" s="37"/>
      <c r="BS55" s="38">
        <f>BS56+BS57+BS58+BS59</f>
        <v>393.32825189151</v>
      </c>
      <c r="BT55" s="37"/>
      <c r="BU55" s="38">
        <f t="shared" si="48"/>
        <v>4423.59666546891</v>
      </c>
      <c r="BV55" s="37"/>
      <c r="BW55" s="39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</row>
    <row r="56" ht="27" customHeight="1" spans="1:88">
      <c r="A56" s="45"/>
      <c r="B56" s="34" t="s">
        <v>294</v>
      </c>
      <c r="C56" s="35">
        <f>班线包车!C38</f>
        <v>136.7024</v>
      </c>
      <c r="D56" s="36">
        <f t="shared" si="37"/>
        <v>-0.179455905382783</v>
      </c>
      <c r="E56" s="35">
        <f>班线包车!E38</f>
        <v>146.6421</v>
      </c>
      <c r="F56" s="36">
        <f t="shared" si="38"/>
        <v>-0.097932915565294</v>
      </c>
      <c r="G56" s="35">
        <f>班线包车!G38</f>
        <v>136.5708</v>
      </c>
      <c r="H56" s="36">
        <f t="shared" si="39"/>
        <v>-0.126736589567323</v>
      </c>
      <c r="I56" s="35">
        <f>班线包车!I38</f>
        <v>136.3122</v>
      </c>
      <c r="J56" s="36">
        <f t="shared" si="40"/>
        <v>-0.140171105143941</v>
      </c>
      <c r="K56" s="35">
        <f>班线包车!K38</f>
        <v>142.7334</v>
      </c>
      <c r="L56" s="36">
        <f t="shared" si="41"/>
        <v>-0.0727924697445093</v>
      </c>
      <c r="M56" s="35">
        <f>班线包车!M38</f>
        <v>133.5838</v>
      </c>
      <c r="N56" s="36">
        <f t="shared" si="42"/>
        <v>-0.112367561605241</v>
      </c>
      <c r="O56" s="35">
        <f>班线包车!O38</f>
        <v>129.1751</v>
      </c>
      <c r="P56" s="36">
        <f t="shared" si="43"/>
        <v>-0.113853374832015</v>
      </c>
      <c r="Q56" s="127"/>
      <c r="R56" s="127"/>
      <c r="S56" s="131">
        <f t="shared" si="44"/>
        <v>961.7198</v>
      </c>
      <c r="T56" s="132">
        <f t="shared" si="45"/>
        <v>-0.225096744079388</v>
      </c>
      <c r="U56" s="36"/>
      <c r="V56" s="35">
        <f>班线包车!V38</f>
        <v>166.5997</v>
      </c>
      <c r="W56" s="36">
        <f t="shared" si="49"/>
        <v>0.103277853677014</v>
      </c>
      <c r="X56" s="35">
        <f>班线包车!X38</f>
        <v>162.5623</v>
      </c>
      <c r="Y56" s="36">
        <f t="shared" si="50"/>
        <v>0.0717705589003959</v>
      </c>
      <c r="Z56" s="35">
        <f>班线包车!Z38</f>
        <v>156.3913</v>
      </c>
      <c r="AA56" s="36">
        <f t="shared" si="51"/>
        <v>0.127754914551948</v>
      </c>
      <c r="AB56" s="35">
        <f>班线包车!AB38</f>
        <v>158.5341</v>
      </c>
      <c r="AC56" s="36">
        <f t="shared" si="52"/>
        <v>0.124477336902515</v>
      </c>
      <c r="AD56" s="35">
        <f>班线包车!AD38</f>
        <v>153.939</v>
      </c>
      <c r="AE56" s="36">
        <f t="shared" si="53"/>
        <v>0.103384359994925</v>
      </c>
      <c r="AF56" s="35">
        <f>班线包车!AF38</f>
        <v>150.4945</v>
      </c>
      <c r="AG56" s="36">
        <f t="shared" si="54"/>
        <v>0.113090421747253</v>
      </c>
      <c r="AH56" s="35">
        <f>班线包车!AH38</f>
        <v>145.7717</v>
      </c>
      <c r="AI56" s="36">
        <f t="shared" si="55"/>
        <v>0.113157046705164</v>
      </c>
      <c r="AJ56" s="35">
        <f>班线包车!AJ38</f>
        <v>146.7911</v>
      </c>
      <c r="AK56" s="36">
        <f t="shared" si="56"/>
        <v>-0.0612489088275453</v>
      </c>
      <c r="AL56" s="35">
        <f>班线包车!AL38</f>
        <v>151.2837</v>
      </c>
      <c r="AM56" s="36">
        <f t="shared" si="57"/>
        <v>-0.188739477412567</v>
      </c>
      <c r="AN56" s="35">
        <f>班线包车!AN38</f>
        <v>156.9226</v>
      </c>
      <c r="AO56" s="36">
        <f t="shared" si="58"/>
        <v>-0.226213053173056</v>
      </c>
      <c r="AP56" s="35">
        <f>班线包车!AP38</f>
        <v>149.9079</v>
      </c>
      <c r="AQ56" s="36">
        <f t="shared" si="59"/>
        <v>-0.136593600646916</v>
      </c>
      <c r="AR56" s="35">
        <f>班线包车!AR38</f>
        <v>145.3567</v>
      </c>
      <c r="AS56" s="36">
        <f t="shared" si="60"/>
        <v>-0.110390357528866</v>
      </c>
      <c r="AT56" s="35">
        <f t="shared" si="46"/>
        <v>1844.5546</v>
      </c>
      <c r="AU56" s="36">
        <f t="shared" si="47"/>
        <v>-0.013964300523666</v>
      </c>
      <c r="AV56" s="37"/>
      <c r="AW56" s="35">
        <v>151.0043</v>
      </c>
      <c r="AX56" s="36"/>
      <c r="AY56" s="35">
        <v>151.6764</v>
      </c>
      <c r="AZ56" s="36"/>
      <c r="BA56" s="35">
        <v>138.6749</v>
      </c>
      <c r="BB56" s="36"/>
      <c r="BC56" s="35">
        <v>140.9847</v>
      </c>
      <c r="BD56" s="36"/>
      <c r="BE56" s="35">
        <v>139.5153</v>
      </c>
      <c r="BF56" s="36"/>
      <c r="BG56" s="35">
        <v>135.2042</v>
      </c>
      <c r="BH56" s="36"/>
      <c r="BI56" s="35">
        <v>130.9534</v>
      </c>
      <c r="BJ56" s="36"/>
      <c r="BK56" s="35">
        <v>156.3685</v>
      </c>
      <c r="BL56" s="36"/>
      <c r="BM56" s="35">
        <v>186.4798</v>
      </c>
      <c r="BN56" s="36"/>
      <c r="BO56" s="35">
        <v>202.7982</v>
      </c>
      <c r="BP56" s="36"/>
      <c r="BQ56" s="35">
        <v>173.6238</v>
      </c>
      <c r="BR56" s="36"/>
      <c r="BS56" s="35">
        <v>163.3938</v>
      </c>
      <c r="BT56" s="36"/>
      <c r="BU56" s="35">
        <f t="shared" si="48"/>
        <v>1870.6773</v>
      </c>
      <c r="BV56" s="36"/>
      <c r="BW56" s="40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7"/>
    </row>
    <row r="57" ht="27" customHeight="1" spans="1:88">
      <c r="A57" s="45"/>
      <c r="B57" s="34" t="s">
        <v>295</v>
      </c>
      <c r="C57" s="35">
        <f>公交!C45-公交!C47</f>
        <v>239.64</v>
      </c>
      <c r="D57" s="36">
        <f t="shared" si="37"/>
        <v>0.135949943117179</v>
      </c>
      <c r="E57" s="35">
        <f>公交!E45-公交!E47</f>
        <v>237.26</v>
      </c>
      <c r="F57" s="36">
        <f t="shared" si="38"/>
        <v>0.0570257506905465</v>
      </c>
      <c r="G57" s="35">
        <f>公交!G45-公交!G47</f>
        <v>256.38</v>
      </c>
      <c r="H57" s="36">
        <f t="shared" si="39"/>
        <v>0.125955204216074</v>
      </c>
      <c r="I57" s="35">
        <f>公交!I45-公交!I47</f>
        <v>262.69</v>
      </c>
      <c r="J57" s="36">
        <f t="shared" si="40"/>
        <v>0.17978083176143</v>
      </c>
      <c r="K57" s="35">
        <f>公交!K45-公交!K47</f>
        <v>263.69</v>
      </c>
      <c r="L57" s="36">
        <f t="shared" si="41"/>
        <v>0.169720090493723</v>
      </c>
      <c r="M57" s="35">
        <f>公交!M45-公交!M47</f>
        <v>256.98</v>
      </c>
      <c r="N57" s="36">
        <f t="shared" si="42"/>
        <v>0.133168709762765</v>
      </c>
      <c r="O57" s="35">
        <f>公交!O45-公交!O47</f>
        <v>242.46</v>
      </c>
      <c r="P57" s="36">
        <f t="shared" si="43"/>
        <v>0.0808666191155492</v>
      </c>
      <c r="Q57" s="127"/>
      <c r="R57" s="127"/>
      <c r="S57" s="131">
        <f t="shared" si="44"/>
        <v>1759.1</v>
      </c>
      <c r="T57" s="132">
        <f t="shared" si="45"/>
        <v>-0.0195794296160471</v>
      </c>
      <c r="U57" s="36"/>
      <c r="V57" s="35">
        <f>公交!V45-公交!V47</f>
        <v>210.96</v>
      </c>
      <c r="W57" s="36">
        <f t="shared" si="49"/>
        <v>0.168559242231208</v>
      </c>
      <c r="X57" s="35">
        <f>公交!X45-公交!X47</f>
        <v>224.46</v>
      </c>
      <c r="Y57" s="36">
        <f t="shared" si="50"/>
        <v>0.357073760580411</v>
      </c>
      <c r="Z57" s="35">
        <f>公交!Z45-公交!Z47</f>
        <v>227.7</v>
      </c>
      <c r="AA57" s="36">
        <f t="shared" si="51"/>
        <v>0.315044758879584</v>
      </c>
      <c r="AB57" s="35">
        <f>公交!AB45-公交!AB47</f>
        <v>222.66</v>
      </c>
      <c r="AC57" s="36">
        <f t="shared" si="52"/>
        <v>0.197676294981443</v>
      </c>
      <c r="AD57" s="35">
        <f>公交!AD45-公交!AD47</f>
        <v>225.43</v>
      </c>
      <c r="AE57" s="36">
        <f t="shared" si="53"/>
        <v>0.21860641115736</v>
      </c>
      <c r="AF57" s="35">
        <f>公交!AF45-公交!AF47</f>
        <v>226.78</v>
      </c>
      <c r="AG57" s="36">
        <f t="shared" si="54"/>
        <v>0.229159891598916</v>
      </c>
      <c r="AH57" s="35">
        <f>公交!AH45-公交!AH47</f>
        <v>224.32</v>
      </c>
      <c r="AI57" s="36">
        <f t="shared" si="55"/>
        <v>0.223585883379698</v>
      </c>
      <c r="AJ57" s="35">
        <f>公交!AJ45-公交!AJ47</f>
        <v>231.92</v>
      </c>
      <c r="AK57" s="36">
        <f t="shared" si="56"/>
        <v>0.152340256384776</v>
      </c>
      <c r="AL57" s="35">
        <f>公交!AL45-公交!AL47</f>
        <v>236.7</v>
      </c>
      <c r="AM57" s="36">
        <f t="shared" si="57"/>
        <v>0.0900801326333238</v>
      </c>
      <c r="AN57" s="35">
        <f>公交!AN45-公交!AN47</f>
        <v>251.69</v>
      </c>
      <c r="AO57" s="36">
        <f t="shared" si="58"/>
        <v>0.143785503294706</v>
      </c>
      <c r="AP57" s="35">
        <f>公交!AP45-公交!AP47</f>
        <v>240.85</v>
      </c>
      <c r="AQ57" s="36">
        <f t="shared" si="59"/>
        <v>0.138340107760658</v>
      </c>
      <c r="AR57" s="35">
        <f>公交!AR45-公交!AR47</f>
        <v>235.23</v>
      </c>
      <c r="AS57" s="36">
        <f t="shared" si="60"/>
        <v>0.120836708438557</v>
      </c>
      <c r="AT57" s="35">
        <f t="shared" si="46"/>
        <v>2758.7</v>
      </c>
      <c r="AU57" s="36">
        <f t="shared" si="47"/>
        <v>0.19026970587347</v>
      </c>
      <c r="AV57" s="37"/>
      <c r="AW57" s="35">
        <v>180.53</v>
      </c>
      <c r="AX57" s="36"/>
      <c r="AY57" s="35">
        <v>165.4</v>
      </c>
      <c r="AZ57" s="36"/>
      <c r="BA57" s="35">
        <v>173.15</v>
      </c>
      <c r="BB57" s="36"/>
      <c r="BC57" s="35">
        <v>185.91</v>
      </c>
      <c r="BD57" s="36"/>
      <c r="BE57" s="35">
        <v>184.99</v>
      </c>
      <c r="BF57" s="36"/>
      <c r="BG57" s="35">
        <v>184.5</v>
      </c>
      <c r="BH57" s="36"/>
      <c r="BI57" s="35">
        <v>183.33</v>
      </c>
      <c r="BJ57" s="36"/>
      <c r="BK57" s="35">
        <v>201.26</v>
      </c>
      <c r="BL57" s="36"/>
      <c r="BM57" s="35">
        <v>217.14</v>
      </c>
      <c r="BN57" s="36"/>
      <c r="BO57" s="35">
        <v>220.05</v>
      </c>
      <c r="BP57" s="36"/>
      <c r="BQ57" s="35">
        <v>211.58</v>
      </c>
      <c r="BR57" s="36"/>
      <c r="BS57" s="35">
        <v>209.87</v>
      </c>
      <c r="BT57" s="36"/>
      <c r="BU57" s="35">
        <f t="shared" si="48"/>
        <v>2317.71</v>
      </c>
      <c r="BV57" s="36"/>
      <c r="BW57" s="40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7"/>
    </row>
    <row r="58" ht="27" customHeight="1" spans="1:88">
      <c r="A58" s="45"/>
      <c r="B58" s="34" t="s">
        <v>296</v>
      </c>
      <c r="C58" s="35">
        <f>出租!C45-出租!C47</f>
        <v>26.18</v>
      </c>
      <c r="D58" s="36">
        <f t="shared" si="37"/>
        <v>0.453636868406442</v>
      </c>
      <c r="E58" s="35">
        <f>出租!E45-出租!E47</f>
        <v>27.18</v>
      </c>
      <c r="F58" s="36">
        <f t="shared" si="38"/>
        <v>0.525252525252526</v>
      </c>
      <c r="G58" s="35">
        <f>出租!G45-出租!G47</f>
        <v>26</v>
      </c>
      <c r="H58" s="36">
        <f t="shared" si="39"/>
        <v>1.08</v>
      </c>
      <c r="I58" s="35">
        <f>出租!I45-出租!I47</f>
        <v>27.76</v>
      </c>
      <c r="J58" s="36">
        <f t="shared" si="40"/>
        <v>1.25324675324675</v>
      </c>
      <c r="K58" s="35">
        <f>出租!K45-出租!K47</f>
        <v>29.87</v>
      </c>
      <c r="L58" s="36">
        <f t="shared" si="41"/>
        <v>1.67892376681614</v>
      </c>
      <c r="M58" s="35">
        <f>出租!M45-出租!M47</f>
        <v>29.9</v>
      </c>
      <c r="N58" s="36">
        <f t="shared" si="42"/>
        <v>1.48545303408147</v>
      </c>
      <c r="O58" s="35">
        <f>出租!O45-出租!O47</f>
        <v>29.75</v>
      </c>
      <c r="P58" s="36">
        <f t="shared" si="43"/>
        <v>0.0244490358126714</v>
      </c>
      <c r="Q58" s="127"/>
      <c r="R58" s="127"/>
      <c r="S58" s="131">
        <f t="shared" si="44"/>
        <v>196.64</v>
      </c>
      <c r="T58" s="132">
        <f t="shared" si="45"/>
        <v>0.383035588690393</v>
      </c>
      <c r="U58" s="36"/>
      <c r="V58" s="35">
        <f>出租!V45-出租!V47</f>
        <v>18.01</v>
      </c>
      <c r="W58" s="36">
        <f t="shared" si="49"/>
        <v>0.104907975460115</v>
      </c>
      <c r="X58" s="35">
        <f>出租!X45-出租!X47</f>
        <v>17.82</v>
      </c>
      <c r="Y58" s="36">
        <f t="shared" si="50"/>
        <v>0.578387953941541</v>
      </c>
      <c r="Z58" s="35">
        <f>出租!Z45-出租!Z47</f>
        <v>12.5</v>
      </c>
      <c r="AA58" s="36">
        <f t="shared" si="51"/>
        <v>-0.223119950279672</v>
      </c>
      <c r="AB58" s="35">
        <f>出租!AB45-出租!AB47</f>
        <v>12.32</v>
      </c>
      <c r="AC58" s="36">
        <f t="shared" si="52"/>
        <v>-0.195822454308094</v>
      </c>
      <c r="AD58" s="35">
        <f>出租!AD45-出租!AD47</f>
        <v>11.15</v>
      </c>
      <c r="AE58" s="36">
        <f t="shared" si="53"/>
        <v>-0.0510638297872311</v>
      </c>
      <c r="AF58" s="35">
        <f>出租!AF45-出租!AF47</f>
        <v>12.03</v>
      </c>
      <c r="AG58" s="36">
        <f t="shared" si="54"/>
        <v>-0.0774539877300634</v>
      </c>
      <c r="AH58" s="35">
        <f>出租!AH45-出租!AH47</f>
        <v>29.04</v>
      </c>
      <c r="AI58" s="36">
        <f t="shared" si="55"/>
        <v>1.21848739495798</v>
      </c>
      <c r="AJ58" s="35">
        <f>出租!AJ45-出租!AJ47</f>
        <v>29.31</v>
      </c>
      <c r="AK58" s="36">
        <f t="shared" si="56"/>
        <v>1.18405365126677</v>
      </c>
      <c r="AL58" s="35">
        <f>出租!AL45-出租!AL47</f>
        <v>29.86</v>
      </c>
      <c r="AM58" s="36">
        <f t="shared" si="57"/>
        <v>1.2085798816568</v>
      </c>
      <c r="AN58" s="35">
        <f>出租!AN45-出租!AN47</f>
        <v>44.85</v>
      </c>
      <c r="AO58" s="36">
        <f t="shared" si="58"/>
        <v>2.15622800844475</v>
      </c>
      <c r="AP58" s="35">
        <f>出租!AP45-出租!AP47</f>
        <v>27.6</v>
      </c>
      <c r="AQ58" s="36">
        <f t="shared" si="59"/>
        <v>1.12798766383963</v>
      </c>
      <c r="AR58" s="35">
        <f>出租!AR45-出租!AR47</f>
        <v>23.8</v>
      </c>
      <c r="AS58" s="36">
        <f t="shared" si="60"/>
        <v>0.832178598922249</v>
      </c>
      <c r="AT58" s="35">
        <f t="shared" si="46"/>
        <v>268.29</v>
      </c>
      <c r="AU58" s="36">
        <f t="shared" si="47"/>
        <v>0.636014391121409</v>
      </c>
      <c r="AV58" s="37"/>
      <c r="AW58" s="35">
        <v>16.3000000000001</v>
      </c>
      <c r="AX58" s="36"/>
      <c r="AY58" s="35">
        <v>11.29</v>
      </c>
      <c r="AZ58" s="36"/>
      <c r="BA58" s="35">
        <v>16.0899999999999</v>
      </c>
      <c r="BB58" s="36"/>
      <c r="BC58" s="35">
        <v>15.32</v>
      </c>
      <c r="BD58" s="36"/>
      <c r="BE58" s="35">
        <v>11.75</v>
      </c>
      <c r="BF58" s="36"/>
      <c r="BG58" s="35">
        <v>13.04</v>
      </c>
      <c r="BH58" s="36"/>
      <c r="BI58" s="35">
        <v>13.09</v>
      </c>
      <c r="BJ58" s="36"/>
      <c r="BK58" s="35">
        <v>13.42</v>
      </c>
      <c r="BL58" s="36"/>
      <c r="BM58" s="35">
        <v>13.52</v>
      </c>
      <c r="BN58" s="36"/>
      <c r="BO58" s="35">
        <v>14.21</v>
      </c>
      <c r="BP58" s="36"/>
      <c r="BQ58" s="35">
        <v>12.97</v>
      </c>
      <c r="BR58" s="36"/>
      <c r="BS58" s="35">
        <v>12.99</v>
      </c>
      <c r="BT58" s="36"/>
      <c r="BU58" s="35">
        <f t="shared" si="48"/>
        <v>163.99</v>
      </c>
      <c r="BV58" s="36"/>
      <c r="BW58" s="40"/>
      <c r="BX58" s="49"/>
      <c r="BY58" s="49"/>
      <c r="BZ58" s="49"/>
      <c r="CA58" s="49"/>
      <c r="CB58" s="49"/>
      <c r="CC58" s="49"/>
      <c r="CD58" s="50"/>
      <c r="CE58" s="49"/>
      <c r="CF58" s="50"/>
      <c r="CG58" s="50"/>
      <c r="CH58" s="50"/>
      <c r="CI58" s="50"/>
      <c r="CJ58" s="47"/>
    </row>
    <row r="59" ht="27" customHeight="1" spans="1:88">
      <c r="A59" s="29"/>
      <c r="B59" s="34" t="s">
        <v>297</v>
      </c>
      <c r="C59" s="35">
        <f>网约车!C45-网约车!C47</f>
        <v>17.302940055154</v>
      </c>
      <c r="D59" s="36">
        <f t="shared" si="37"/>
        <v>4.09714442039379</v>
      </c>
      <c r="E59" s="35">
        <f>网约车!E45-网约车!E47</f>
        <v>17.861362491855</v>
      </c>
      <c r="F59" s="36">
        <f t="shared" si="38"/>
        <v>2.79839147924643</v>
      </c>
      <c r="G59" s="35">
        <f>网约车!G45-网约车!G47</f>
        <v>18.708670083526</v>
      </c>
      <c r="H59" s="36">
        <f t="shared" si="39"/>
        <v>2.59568509321841</v>
      </c>
      <c r="I59" s="35">
        <f>网约车!I45-网约车!I47</f>
        <v>18.284254628413</v>
      </c>
      <c r="J59" s="36">
        <f t="shared" si="40"/>
        <v>1.77651251379173</v>
      </c>
      <c r="K59" s="35">
        <f>网约车!K45-网约车!K47</f>
        <v>20.414658513067</v>
      </c>
      <c r="L59" s="36">
        <f t="shared" si="41"/>
        <v>2.37157820466025</v>
      </c>
      <c r="M59" s="35">
        <f>网约车!M45-网约车!M47</f>
        <v>21.334483905382</v>
      </c>
      <c r="N59" s="36">
        <f t="shared" si="42"/>
        <v>2.58590793160233</v>
      </c>
      <c r="O59" s="35">
        <f>网约车!O45-网约车!O47</f>
        <v>23.143034981912</v>
      </c>
      <c r="P59" s="36">
        <f t="shared" si="43"/>
        <v>0.992698779082416</v>
      </c>
      <c r="Q59" s="127"/>
      <c r="R59" s="127"/>
      <c r="S59" s="131">
        <f t="shared" si="44"/>
        <v>137.049404659309</v>
      </c>
      <c r="T59" s="132">
        <f t="shared" si="45"/>
        <v>1.43352835954197</v>
      </c>
      <c r="U59" s="36"/>
      <c r="V59" s="35">
        <f>网约车!V45-网约车!V47</f>
        <v>3.3946340594009</v>
      </c>
      <c r="W59" s="36">
        <f t="shared" si="49"/>
        <v>-0.463914980836017</v>
      </c>
      <c r="X59" s="35">
        <f>网约车!X45-网约车!X47</f>
        <v>4.7023490310163</v>
      </c>
      <c r="Y59" s="36">
        <f t="shared" si="50"/>
        <v>0.227642395209154</v>
      </c>
      <c r="Z59" s="35">
        <f>网约车!Z45-网约车!Z47</f>
        <v>5.203089146714</v>
      </c>
      <c r="AA59" s="36">
        <f t="shared" si="51"/>
        <v>-0.126709162952902</v>
      </c>
      <c r="AB59" s="35">
        <f>网约车!AB45-网约车!AB47</f>
        <v>6.5853312519176</v>
      </c>
      <c r="AC59" s="36">
        <f t="shared" si="52"/>
        <v>-0.00192458149735009</v>
      </c>
      <c r="AD59" s="35">
        <f>网约车!AD45-网约车!AD47</f>
        <v>6.05492658745081</v>
      </c>
      <c r="AE59" s="36">
        <f t="shared" si="53"/>
        <v>-0.136689169595951</v>
      </c>
      <c r="AF59" s="35">
        <f>网约车!AF45-网约车!AF47</f>
        <v>5.9495347656204</v>
      </c>
      <c r="AG59" s="36">
        <f t="shared" si="54"/>
        <v>0.101843182048572</v>
      </c>
      <c r="AH59" s="35">
        <f>网约车!AH45-网约车!AH47</f>
        <v>11.6139153718801</v>
      </c>
      <c r="AI59" s="36">
        <f t="shared" si="55"/>
        <v>0.962974675520148</v>
      </c>
      <c r="AJ59" s="35">
        <f>网约车!AJ45-网约车!AJ47</f>
        <v>12.8133792396517</v>
      </c>
      <c r="AK59" s="36">
        <f t="shared" si="56"/>
        <v>1.6180731418463</v>
      </c>
      <c r="AL59" s="35">
        <f>网约车!AL45-网约车!AL47</f>
        <v>11.6734103336723</v>
      </c>
      <c r="AM59" s="36">
        <f t="shared" si="57"/>
        <v>0.989922279704902</v>
      </c>
      <c r="AN59" s="35">
        <f>网约车!AN45-网约车!AN47</f>
        <v>15.987602758492</v>
      </c>
      <c r="AO59" s="36">
        <f t="shared" si="58"/>
        <v>1.57154351072843</v>
      </c>
      <c r="AP59" s="35">
        <f>网约车!AP45-网约车!AP47</f>
        <v>10.4830996815251</v>
      </c>
      <c r="AQ59" s="36">
        <f t="shared" si="59"/>
        <v>0.713235141526471</v>
      </c>
      <c r="AR59" s="35">
        <f>网约车!AR45-网约车!AR47</f>
        <v>12.530075451509</v>
      </c>
      <c r="AS59" s="36">
        <f t="shared" si="60"/>
        <v>0.771172614311783</v>
      </c>
      <c r="AT59" s="35">
        <f t="shared" si="46"/>
        <v>106.99134767885</v>
      </c>
      <c r="AU59" s="36">
        <f t="shared" si="47"/>
        <v>0.502278867193275</v>
      </c>
      <c r="AV59" s="37"/>
      <c r="AW59" s="35">
        <v>6.33226808817524</v>
      </c>
      <c r="AX59" s="36"/>
      <c r="AY59" s="35">
        <v>3.83038989967038</v>
      </c>
      <c r="AZ59" s="36"/>
      <c r="BA59" s="35">
        <v>5.95802558092498</v>
      </c>
      <c r="BB59" s="36"/>
      <c r="BC59" s="35">
        <v>6.59802969779294</v>
      </c>
      <c r="BD59" s="36"/>
      <c r="BE59" s="35">
        <v>7.01361129063673</v>
      </c>
      <c r="BF59" s="36"/>
      <c r="BG59" s="35">
        <v>5.39962025681267</v>
      </c>
      <c r="BH59" s="36"/>
      <c r="BI59" s="35">
        <v>5.91648762295044</v>
      </c>
      <c r="BJ59" s="36"/>
      <c r="BK59" s="35">
        <v>4.89420216526707</v>
      </c>
      <c r="BL59" s="36"/>
      <c r="BM59" s="35">
        <v>5.86626445300337</v>
      </c>
      <c r="BN59" s="36"/>
      <c r="BO59" s="35">
        <v>6.21712317594161</v>
      </c>
      <c r="BP59" s="36"/>
      <c r="BQ59" s="35">
        <v>6.11889134621929</v>
      </c>
      <c r="BR59" s="36"/>
      <c r="BS59" s="35">
        <v>7.07445189151017</v>
      </c>
      <c r="BT59" s="36"/>
      <c r="BU59" s="35">
        <f t="shared" si="48"/>
        <v>71.2193654689049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7"/>
    </row>
    <row r="60" s="15" customFormat="1" ht="27" customHeight="1" spans="1:88">
      <c r="A60" s="48" t="s">
        <v>103</v>
      </c>
      <c r="B60" s="34" t="s">
        <v>293</v>
      </c>
      <c r="C60" s="35">
        <f>C61+C62+C63+C64</f>
        <v>278.571008184142</v>
      </c>
      <c r="D60" s="36">
        <f t="shared" si="37"/>
        <v>-0.0099133682574114</v>
      </c>
      <c r="E60" s="35">
        <f>E61+E62+E63+E64</f>
        <v>296.607066814351</v>
      </c>
      <c r="F60" s="36">
        <f t="shared" si="38"/>
        <v>0.149256398670948</v>
      </c>
      <c r="G60" s="35">
        <f>G61+G62+G63+G64</f>
        <v>325.939415713144</v>
      </c>
      <c r="H60" s="36">
        <f t="shared" si="39"/>
        <v>0.233118603138424</v>
      </c>
      <c r="I60" s="35">
        <f>I61+I62+I63+I64</f>
        <v>329.56520807633</v>
      </c>
      <c r="J60" s="36">
        <f t="shared" si="40"/>
        <v>0.221063587668115</v>
      </c>
      <c r="K60" s="35">
        <f>K61+K62+K63+K64</f>
        <v>341.046196476763</v>
      </c>
      <c r="L60" s="36">
        <f t="shared" si="41"/>
        <v>0.23141530948615</v>
      </c>
      <c r="M60" s="35">
        <f>M61+M62+M63+M64</f>
        <v>317.916866409469</v>
      </c>
      <c r="N60" s="36">
        <f t="shared" si="42"/>
        <v>0.208724307285864</v>
      </c>
      <c r="O60" s="35">
        <f>O61+O62+O63+O64</f>
        <v>303.725769149232</v>
      </c>
      <c r="P60" s="36">
        <f t="shared" si="43"/>
        <v>0.213314253172306</v>
      </c>
      <c r="Q60" s="127"/>
      <c r="R60" s="127"/>
      <c r="S60" s="131">
        <f t="shared" si="44"/>
        <v>2193.37153082343</v>
      </c>
      <c r="T60" s="132">
        <f t="shared" si="45"/>
        <v>0.0343131524629801</v>
      </c>
      <c r="U60" s="36"/>
      <c r="V60" s="35">
        <f>V61+V62+V63+V64</f>
        <v>281.360235814766</v>
      </c>
      <c r="W60" s="36">
        <f t="shared" si="49"/>
        <v>-0.0696410301160778</v>
      </c>
      <c r="X60" s="35">
        <f>X61+X62+X63+X64</f>
        <v>258.086069529272</v>
      </c>
      <c r="Y60" s="36">
        <f t="shared" si="50"/>
        <v>0.14194161424142</v>
      </c>
      <c r="Z60" s="35">
        <f>Z61+Z62+Z63+Z64</f>
        <v>264.321221724814</v>
      </c>
      <c r="AA60" s="36">
        <f t="shared" si="51"/>
        <v>0.167875536855647</v>
      </c>
      <c r="AB60" s="35">
        <f>AB61+AB62+AB63+AB64</f>
        <v>269.900119375197</v>
      </c>
      <c r="AC60" s="36">
        <f t="shared" si="52"/>
        <v>0.11619709432912</v>
      </c>
      <c r="AD60" s="35">
        <f>AD61+AD62+AD63+AD64</f>
        <v>276.95465035194</v>
      </c>
      <c r="AE60" s="36">
        <f t="shared" si="53"/>
        <v>0.109845708587422</v>
      </c>
      <c r="AF60" s="35">
        <f>AF61+AF62+AF63+AF64</f>
        <v>263.018510087993</v>
      </c>
      <c r="AG60" s="36">
        <f t="shared" si="54"/>
        <v>0.0578583730628717</v>
      </c>
      <c r="AH60" s="35">
        <f>AH61+AH62+AH63+AH64</f>
        <v>250.327372611932</v>
      </c>
      <c r="AI60" s="36">
        <f t="shared" si="55"/>
        <v>0.0382493673402748</v>
      </c>
      <c r="AJ60" s="35">
        <f>AJ61+AJ62+AJ63+AJ64</f>
        <v>256.638646009901</v>
      </c>
      <c r="AK60" s="36">
        <f t="shared" si="56"/>
        <v>0.000785826689305935</v>
      </c>
      <c r="AL60" s="35">
        <f>AL61+AL62+AL63+AL64</f>
        <v>261.827751516729</v>
      </c>
      <c r="AM60" s="36">
        <f t="shared" si="57"/>
        <v>0.0146685834708946</v>
      </c>
      <c r="AN60" s="35">
        <f>AN61+AN62+AN63+AN64</f>
        <v>284.118072664296</v>
      </c>
      <c r="AO60" s="36">
        <f t="shared" si="58"/>
        <v>0.0376353377039009</v>
      </c>
      <c r="AP60" s="35">
        <f>AP61+AP62+AP63+AP64</f>
        <v>289.373025545867</v>
      </c>
      <c r="AQ60" s="36">
        <f t="shared" si="59"/>
        <v>0.0933441656478602</v>
      </c>
      <c r="AR60" s="35">
        <f>AR61+AR62+AR63+AR64</f>
        <v>275.523188900983</v>
      </c>
      <c r="AS60" s="36">
        <f t="shared" si="60"/>
        <v>0.390473493836037</v>
      </c>
      <c r="AT60" s="35">
        <f t="shared" si="46"/>
        <v>3231.44886413369</v>
      </c>
      <c r="AU60" s="36">
        <f t="shared" si="47"/>
        <v>0.0818556169311138</v>
      </c>
      <c r="AV60" s="37"/>
      <c r="AW60" s="38">
        <f>AW61+AW62+AW63+AW64</f>
        <v>302.421156695969</v>
      </c>
      <c r="AX60" s="37"/>
      <c r="AY60" s="38">
        <f>AY61+AY62+AY63+AY64</f>
        <v>226.006361718165</v>
      </c>
      <c r="AZ60" s="37"/>
      <c r="BA60" s="38">
        <f>BA61+BA62+BA63+BA64</f>
        <v>226.32653342193</v>
      </c>
      <c r="BB60" s="37"/>
      <c r="BC60" s="38">
        <f>BC61+BC62+BC63+BC64</f>
        <v>241.803280752507</v>
      </c>
      <c r="BD60" s="37"/>
      <c r="BE60" s="38">
        <f>BE61+BE62+BE63+BE64</f>
        <v>249.543380858264</v>
      </c>
      <c r="BF60" s="37"/>
      <c r="BG60" s="38">
        <f>BG61+BG62+BG63+BG64</f>
        <v>248.63300871407</v>
      </c>
      <c r="BH60" s="37"/>
      <c r="BI60" s="38">
        <f>BI61+BI62+BI63+BI64</f>
        <v>241.105249361438</v>
      </c>
      <c r="BJ60" s="37"/>
      <c r="BK60" s="38">
        <f>BK61+BK62+BK63+BK64</f>
        <v>256.437130868335</v>
      </c>
      <c r="BL60" s="37"/>
      <c r="BM60" s="38">
        <f>BM61+BM62+BM63+BM64</f>
        <v>258.042631635533</v>
      </c>
      <c r="BN60" s="37"/>
      <c r="BO60" s="38">
        <f>BO61+BO62+BO63+BO64</f>
        <v>273.813026928129</v>
      </c>
      <c r="BP60" s="37"/>
      <c r="BQ60" s="38">
        <f>BQ61+BQ62+BQ63+BQ64</f>
        <v>264.667827970161</v>
      </c>
      <c r="BR60" s="37"/>
      <c r="BS60" s="38">
        <f>BS61+BS62+BS63+BS64</f>
        <v>198.150622879455</v>
      </c>
      <c r="BT60" s="37"/>
      <c r="BU60" s="38">
        <f t="shared" si="48"/>
        <v>2986.95021180396</v>
      </c>
      <c r="BV60" s="37"/>
      <c r="BW60" s="39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</row>
    <row r="61" ht="27" customHeight="1" spans="1:88">
      <c r="A61" s="45"/>
      <c r="B61" s="34" t="s">
        <v>294</v>
      </c>
      <c r="C61" s="35">
        <f>班线包车!C42</f>
        <v>39.3094</v>
      </c>
      <c r="D61" s="36">
        <f t="shared" si="37"/>
        <v>-0.334743632920454</v>
      </c>
      <c r="E61" s="35">
        <f>班线包车!E42</f>
        <v>56.4335</v>
      </c>
      <c r="F61" s="36">
        <f t="shared" si="38"/>
        <v>-0.132214185103857</v>
      </c>
      <c r="G61" s="35">
        <f>班线包车!G42</f>
        <v>56.8116</v>
      </c>
      <c r="H61" s="36">
        <f t="shared" si="39"/>
        <v>-0.130239885362079</v>
      </c>
      <c r="I61" s="35">
        <f>班线包车!I42</f>
        <v>58.6924</v>
      </c>
      <c r="J61" s="36">
        <f t="shared" si="40"/>
        <v>-0.0248520474112867</v>
      </c>
      <c r="K61" s="35">
        <f>班线包车!K42</f>
        <v>58.0517</v>
      </c>
      <c r="L61" s="36">
        <f t="shared" si="41"/>
        <v>0.0156515988389894</v>
      </c>
      <c r="M61" s="35">
        <f>班线包车!M42</f>
        <v>52.6658</v>
      </c>
      <c r="N61" s="36">
        <f t="shared" si="42"/>
        <v>-0.108051715786728</v>
      </c>
      <c r="O61" s="35">
        <f>班线包车!O42</f>
        <v>49.2438</v>
      </c>
      <c r="P61" s="36">
        <f t="shared" si="43"/>
        <v>-0.0795981496191767</v>
      </c>
      <c r="Q61" s="127"/>
      <c r="R61" s="127"/>
      <c r="S61" s="131">
        <f t="shared" si="44"/>
        <v>371.2082</v>
      </c>
      <c r="T61" s="132">
        <f t="shared" si="45"/>
        <v>-0.215140269434364</v>
      </c>
      <c r="U61" s="36"/>
      <c r="V61" s="35">
        <f>班线包车!V42</f>
        <v>59.0891</v>
      </c>
      <c r="W61" s="36">
        <f t="shared" si="49"/>
        <v>0.11612905663086</v>
      </c>
      <c r="X61" s="35">
        <f>班线包车!X42</f>
        <v>65.0316</v>
      </c>
      <c r="Y61" s="36">
        <f t="shared" si="50"/>
        <v>0.315010322870263</v>
      </c>
      <c r="Z61" s="35">
        <f>班线包车!Z42</f>
        <v>65.3187</v>
      </c>
      <c r="AA61" s="36">
        <f t="shared" si="51"/>
        <v>0.24766630947401</v>
      </c>
      <c r="AB61" s="35">
        <f>班线包车!AB42</f>
        <v>60.1882</v>
      </c>
      <c r="AC61" s="36">
        <f t="shared" si="52"/>
        <v>0.236809064587653</v>
      </c>
      <c r="AD61" s="35">
        <f>班线包车!AD42</f>
        <v>57.1571</v>
      </c>
      <c r="AE61" s="36">
        <f t="shared" si="53"/>
        <v>0.0872611271110029</v>
      </c>
      <c r="AF61" s="35">
        <f>班线包车!AF42</f>
        <v>59.0458</v>
      </c>
      <c r="AG61" s="36">
        <f t="shared" si="54"/>
        <v>0.13754373256477</v>
      </c>
      <c r="AH61" s="35">
        <f>班线包车!AH42</f>
        <v>53.5025</v>
      </c>
      <c r="AI61" s="36">
        <f t="shared" si="55"/>
        <v>0.102862360963383</v>
      </c>
      <c r="AJ61" s="35">
        <f>班线包车!AJ42</f>
        <v>53.6282</v>
      </c>
      <c r="AK61" s="36">
        <f t="shared" si="56"/>
        <v>0.0152202967579254</v>
      </c>
      <c r="AL61" s="35">
        <f>班线包车!AL42</f>
        <v>53.3324</v>
      </c>
      <c r="AM61" s="36">
        <f t="shared" si="57"/>
        <v>-0.0428362216255798</v>
      </c>
      <c r="AN61" s="35">
        <f>班线包车!AN42</f>
        <v>52.6712</v>
      </c>
      <c r="AO61" s="36">
        <f t="shared" si="58"/>
        <v>-0.131738066821841</v>
      </c>
      <c r="AP61" s="35">
        <f>班线包车!AP42</f>
        <v>48.952</v>
      </c>
      <c r="AQ61" s="36">
        <f t="shared" si="59"/>
        <v>-0.184435092349164</v>
      </c>
      <c r="AR61" s="35">
        <f>班线包车!AR42</f>
        <v>41.0177</v>
      </c>
      <c r="AS61" s="36">
        <f t="shared" si="60"/>
        <v>-0.285796619967474</v>
      </c>
      <c r="AT61" s="35">
        <f t="shared" si="46"/>
        <v>668.9345</v>
      </c>
      <c r="AU61" s="36">
        <f t="shared" si="47"/>
        <v>0.0402371724176109</v>
      </c>
      <c r="AV61" s="37"/>
      <c r="AW61" s="35">
        <v>52.9411</v>
      </c>
      <c r="AX61" s="36"/>
      <c r="AY61" s="35">
        <v>49.4533</v>
      </c>
      <c r="AZ61" s="36"/>
      <c r="BA61" s="35">
        <v>52.3527</v>
      </c>
      <c r="BB61" s="36"/>
      <c r="BC61" s="35">
        <v>48.6641</v>
      </c>
      <c r="BD61" s="36"/>
      <c r="BE61" s="35">
        <v>52.5698</v>
      </c>
      <c r="BF61" s="36"/>
      <c r="BG61" s="35">
        <v>51.9064</v>
      </c>
      <c r="BH61" s="36"/>
      <c r="BI61" s="35">
        <v>48.5124</v>
      </c>
      <c r="BJ61" s="36"/>
      <c r="BK61" s="35">
        <v>52.8242</v>
      </c>
      <c r="BL61" s="36"/>
      <c r="BM61" s="35">
        <v>55.7192</v>
      </c>
      <c r="BN61" s="36"/>
      <c r="BO61" s="35">
        <v>60.6628</v>
      </c>
      <c r="BP61" s="36"/>
      <c r="BQ61" s="35">
        <v>60.0222</v>
      </c>
      <c r="BR61" s="36"/>
      <c r="BS61" s="35">
        <v>57.4314</v>
      </c>
      <c r="BT61" s="36"/>
      <c r="BU61" s="35">
        <f t="shared" si="48"/>
        <v>643.0596</v>
      </c>
      <c r="BV61" s="36"/>
      <c r="BW61" s="40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7"/>
    </row>
    <row r="62" ht="27" customHeight="1" spans="1:88">
      <c r="A62" s="45"/>
      <c r="B62" s="34" t="s">
        <v>295</v>
      </c>
      <c r="C62" s="35">
        <f>公交!C49-公交!C51</f>
        <v>154.96</v>
      </c>
      <c r="D62" s="36">
        <f t="shared" si="37"/>
        <v>0.0709053213545274</v>
      </c>
      <c r="E62" s="35">
        <f>公交!E49-公交!E51</f>
        <v>163.37</v>
      </c>
      <c r="F62" s="36">
        <f t="shared" si="38"/>
        <v>0.256595646488732</v>
      </c>
      <c r="G62" s="35">
        <f>公交!G49-公交!G51</f>
        <v>186.13</v>
      </c>
      <c r="H62" s="36">
        <f t="shared" si="39"/>
        <v>0.396114611461147</v>
      </c>
      <c r="I62" s="35">
        <f>公交!I49-公交!I51</f>
        <v>195.03</v>
      </c>
      <c r="J62" s="36">
        <f t="shared" si="40"/>
        <v>0.387126600284496</v>
      </c>
      <c r="K62" s="35">
        <f>公交!K49-公交!K51</f>
        <v>200.33</v>
      </c>
      <c r="L62" s="36">
        <f t="shared" si="41"/>
        <v>0.390311610798807</v>
      </c>
      <c r="M62" s="35">
        <f>公交!M49-公交!M51</f>
        <v>184.33</v>
      </c>
      <c r="N62" s="36">
        <f t="shared" si="42"/>
        <v>0.389073097211756</v>
      </c>
      <c r="O62" s="35">
        <f>公交!O49-公交!O51</f>
        <v>174.79</v>
      </c>
      <c r="P62" s="36">
        <f t="shared" si="43"/>
        <v>0.361717045808663</v>
      </c>
      <c r="Q62" s="127"/>
      <c r="R62" s="127"/>
      <c r="S62" s="131">
        <f t="shared" si="44"/>
        <v>1258.94</v>
      </c>
      <c r="T62" s="132">
        <f t="shared" si="45"/>
        <v>0.157837619100173</v>
      </c>
      <c r="U62" s="36"/>
      <c r="V62" s="35">
        <f>公交!V49-公交!V51</f>
        <v>144.7</v>
      </c>
      <c r="W62" s="36">
        <f t="shared" si="49"/>
        <v>-0.0920499466649939</v>
      </c>
      <c r="X62" s="35">
        <f>公交!X49-公交!X51</f>
        <v>130.01</v>
      </c>
      <c r="Y62" s="36">
        <f t="shared" si="50"/>
        <v>0.0502463850068664</v>
      </c>
      <c r="Z62" s="35">
        <f>公交!Z49-公交!Z51</f>
        <v>133.32</v>
      </c>
      <c r="AA62" s="36">
        <f t="shared" si="51"/>
        <v>0.103551030543829</v>
      </c>
      <c r="AB62" s="35">
        <f>公交!AB49-公交!AB51</f>
        <v>140.6</v>
      </c>
      <c r="AC62" s="36">
        <f t="shared" si="52"/>
        <v>0.0433363015731665</v>
      </c>
      <c r="AD62" s="35">
        <f>公交!AD49-公交!AD51</f>
        <v>144.09</v>
      </c>
      <c r="AE62" s="36">
        <f t="shared" si="53"/>
        <v>0.0432232841007814</v>
      </c>
      <c r="AF62" s="35">
        <f>公交!AF49-公交!AF51</f>
        <v>132.7</v>
      </c>
      <c r="AG62" s="36">
        <f t="shared" si="54"/>
        <v>0.0220271102895875</v>
      </c>
      <c r="AH62" s="35">
        <f>公交!AH49-公交!AH51</f>
        <v>128.36</v>
      </c>
      <c r="AI62" s="36">
        <f t="shared" si="55"/>
        <v>0.0151850680164507</v>
      </c>
      <c r="AJ62" s="35">
        <f>公交!AJ49-公交!AJ51</f>
        <v>133.54</v>
      </c>
      <c r="AK62" s="36">
        <f t="shared" si="56"/>
        <v>-0.0221864245441901</v>
      </c>
      <c r="AL62" s="35">
        <f>公交!AL49-公交!AL51</f>
        <v>141.73</v>
      </c>
      <c r="AM62" s="36">
        <f t="shared" si="57"/>
        <v>0.0714393710311463</v>
      </c>
      <c r="AN62" s="35">
        <f>公交!AN49-公交!AN51</f>
        <v>157.78</v>
      </c>
      <c r="AO62" s="36">
        <f t="shared" si="58"/>
        <v>0.143167656861324</v>
      </c>
      <c r="AP62" s="35">
        <f>公交!AP49-公交!AP51</f>
        <v>160.3</v>
      </c>
      <c r="AQ62" s="36">
        <f t="shared" si="59"/>
        <v>0.234881750250366</v>
      </c>
      <c r="AR62" s="35">
        <f>公交!AR49-公交!AR51</f>
        <v>149.68</v>
      </c>
      <c r="AS62" s="36">
        <f t="shared" si="60"/>
        <v>0.245568777565116</v>
      </c>
      <c r="AT62" s="35">
        <f t="shared" si="46"/>
        <v>1696.81</v>
      </c>
      <c r="AU62" s="36">
        <f t="shared" si="47"/>
        <v>0.067189524396533</v>
      </c>
      <c r="AV62" s="37"/>
      <c r="AW62" s="35">
        <v>159.37</v>
      </c>
      <c r="AX62" s="36"/>
      <c r="AY62" s="35">
        <v>123.79</v>
      </c>
      <c r="AZ62" s="36"/>
      <c r="BA62" s="35">
        <v>120.81</v>
      </c>
      <c r="BB62" s="36"/>
      <c r="BC62" s="35">
        <v>134.76</v>
      </c>
      <c r="BD62" s="36"/>
      <c r="BE62" s="35">
        <v>138.12</v>
      </c>
      <c r="BF62" s="36"/>
      <c r="BG62" s="35">
        <v>129.84</v>
      </c>
      <c r="BH62" s="36"/>
      <c r="BI62" s="35">
        <v>126.44</v>
      </c>
      <c r="BJ62" s="36"/>
      <c r="BK62" s="35">
        <v>136.57</v>
      </c>
      <c r="BL62" s="36"/>
      <c r="BM62" s="35">
        <v>132.28</v>
      </c>
      <c r="BN62" s="36"/>
      <c r="BO62" s="35">
        <v>138.02</v>
      </c>
      <c r="BP62" s="36"/>
      <c r="BQ62" s="35">
        <v>129.81</v>
      </c>
      <c r="BR62" s="36"/>
      <c r="BS62" s="35">
        <v>120.17</v>
      </c>
      <c r="BT62" s="36"/>
      <c r="BU62" s="35">
        <f t="shared" si="48"/>
        <v>1589.98</v>
      </c>
      <c r="BV62" s="36"/>
      <c r="BW62" s="40"/>
      <c r="BX62" s="49"/>
      <c r="BY62" s="49"/>
      <c r="BZ62" s="49"/>
      <c r="CA62" s="49"/>
      <c r="CB62" s="49"/>
      <c r="CC62" s="49"/>
      <c r="CD62" s="50"/>
      <c r="CE62" s="49"/>
      <c r="CF62" s="50"/>
      <c r="CG62" s="50"/>
      <c r="CH62" s="50"/>
      <c r="CI62" s="50"/>
      <c r="CJ62" s="47"/>
    </row>
    <row r="63" ht="27" customHeight="1" spans="1:88">
      <c r="A63" s="45"/>
      <c r="B63" s="34" t="s">
        <v>296</v>
      </c>
      <c r="C63" s="35">
        <f>出租!C49-出租!C51</f>
        <v>47.7</v>
      </c>
      <c r="D63" s="36">
        <f t="shared" si="37"/>
        <v>0.0680698611733099</v>
      </c>
      <c r="E63" s="35">
        <f>出租!E49-出租!E51</f>
        <v>47.99</v>
      </c>
      <c r="F63" s="36">
        <f t="shared" si="38"/>
        <v>0.133979206049149</v>
      </c>
      <c r="G63" s="35">
        <f>出租!G49-出租!G51</f>
        <v>49.53</v>
      </c>
      <c r="H63" s="36">
        <f t="shared" si="39"/>
        <v>0.173418621179815</v>
      </c>
      <c r="I63" s="35">
        <f>出租!I49-出租!I51</f>
        <v>46.84</v>
      </c>
      <c r="J63" s="36">
        <f t="shared" si="40"/>
        <v>0.0544799639801894</v>
      </c>
      <c r="K63" s="35">
        <f>出租!K49-出租!K51</f>
        <v>47.85</v>
      </c>
      <c r="L63" s="36">
        <f t="shared" si="41"/>
        <v>0.010559662090813</v>
      </c>
      <c r="M63" s="35">
        <f>出租!M49-出租!M51</f>
        <v>45.38</v>
      </c>
      <c r="N63" s="36">
        <f t="shared" si="42"/>
        <v>0.00398230088495466</v>
      </c>
      <c r="O63" s="35">
        <f>出租!O49-出租!O51</f>
        <v>45.06</v>
      </c>
      <c r="P63" s="36">
        <f t="shared" si="43"/>
        <v>0.0428141633881045</v>
      </c>
      <c r="Q63" s="127"/>
      <c r="R63" s="127"/>
      <c r="S63" s="131">
        <f t="shared" si="44"/>
        <v>330.35</v>
      </c>
      <c r="T63" s="132">
        <f t="shared" si="45"/>
        <v>-0.0643233444740272</v>
      </c>
      <c r="U63" s="36"/>
      <c r="V63" s="35">
        <f>出租!V49-出租!V51</f>
        <v>44.66</v>
      </c>
      <c r="W63" s="36">
        <f t="shared" si="49"/>
        <v>-0.330936329588015</v>
      </c>
      <c r="X63" s="35">
        <f>出租!X49-出租!X51</f>
        <v>42.32</v>
      </c>
      <c r="Y63" s="36">
        <f t="shared" si="50"/>
        <v>0.153762268266085</v>
      </c>
      <c r="Z63" s="35">
        <f>出租!Z49-出租!Z51</f>
        <v>42.21</v>
      </c>
      <c r="AA63" s="36">
        <f t="shared" si="51"/>
        <v>0.254383358098069</v>
      </c>
      <c r="AB63" s="35">
        <f>出租!AB49-出租!AB51</f>
        <v>44.42</v>
      </c>
      <c r="AC63" s="36">
        <f t="shared" si="52"/>
        <v>0.257288423436173</v>
      </c>
      <c r="AD63" s="35">
        <f>出租!AD49-出租!AD51</f>
        <v>47.35</v>
      </c>
      <c r="AE63" s="36">
        <f t="shared" si="53"/>
        <v>0.336060948081264</v>
      </c>
      <c r="AF63" s="35">
        <f>出租!AF49-出租!AF51</f>
        <v>45.2</v>
      </c>
      <c r="AG63" s="36">
        <f t="shared" si="54"/>
        <v>0.189473684210527</v>
      </c>
      <c r="AH63" s="35">
        <f>出租!AH49-出租!AH51</f>
        <v>43.21</v>
      </c>
      <c r="AI63" s="36">
        <f t="shared" si="55"/>
        <v>0.178990450204639</v>
      </c>
      <c r="AJ63" s="35">
        <f>出租!AJ49-出租!AJ51</f>
        <v>43.69</v>
      </c>
      <c r="AK63" s="36">
        <f t="shared" si="56"/>
        <v>0.163515312916112</v>
      </c>
      <c r="AL63" s="35">
        <f>出租!AL49-出租!AL51</f>
        <v>42.8</v>
      </c>
      <c r="AM63" s="36">
        <f t="shared" si="57"/>
        <v>0.104801239029427</v>
      </c>
      <c r="AN63" s="35">
        <f>出租!AN49-出租!AN51</f>
        <v>41.49</v>
      </c>
      <c r="AO63" s="36">
        <f t="shared" si="58"/>
        <v>-0.020306965761511</v>
      </c>
      <c r="AP63" s="35">
        <f>出租!AP49-出租!AP51</f>
        <v>44.51</v>
      </c>
      <c r="AQ63" s="36">
        <f t="shared" si="59"/>
        <v>0.101732673267326</v>
      </c>
      <c r="AR63" s="35">
        <f>出租!AR49-出租!AR51</f>
        <v>41.98</v>
      </c>
      <c r="AS63" s="36">
        <f t="shared" si="60"/>
        <v>3.55808903365906</v>
      </c>
      <c r="AT63" s="35">
        <f t="shared" si="46"/>
        <v>523.84</v>
      </c>
      <c r="AU63" s="36">
        <f t="shared" si="47"/>
        <v>0.162151968940654</v>
      </c>
      <c r="AV63" s="37"/>
      <c r="AW63" s="35">
        <v>66.75</v>
      </c>
      <c r="AX63" s="36"/>
      <c r="AY63" s="35">
        <v>36.68</v>
      </c>
      <c r="AZ63" s="36"/>
      <c r="BA63" s="35">
        <v>33.65</v>
      </c>
      <c r="BB63" s="36"/>
      <c r="BC63" s="35">
        <v>35.33</v>
      </c>
      <c r="BD63" s="36"/>
      <c r="BE63" s="35">
        <v>35.44</v>
      </c>
      <c r="BF63" s="36"/>
      <c r="BG63" s="35">
        <v>38</v>
      </c>
      <c r="BH63" s="36"/>
      <c r="BI63" s="35">
        <v>36.65</v>
      </c>
      <c r="BJ63" s="36"/>
      <c r="BK63" s="35">
        <v>37.55</v>
      </c>
      <c r="BL63" s="36"/>
      <c r="BM63" s="35">
        <v>38.74</v>
      </c>
      <c r="BN63" s="36"/>
      <c r="BO63" s="35">
        <v>42.35</v>
      </c>
      <c r="BP63" s="36"/>
      <c r="BQ63" s="35">
        <v>40.4</v>
      </c>
      <c r="BR63" s="36"/>
      <c r="BS63" s="35">
        <v>9.21000000000001</v>
      </c>
      <c r="BT63" s="36"/>
      <c r="BU63" s="35">
        <f t="shared" si="48"/>
        <v>450.75</v>
      </c>
      <c r="BV63" s="36"/>
      <c r="BW63" s="40"/>
      <c r="BX63" s="49"/>
      <c r="BY63" s="49"/>
      <c r="BZ63" s="49"/>
      <c r="CA63" s="49"/>
      <c r="CB63" s="49"/>
      <c r="CC63" s="49"/>
      <c r="CD63" s="50"/>
      <c r="CE63" s="49"/>
      <c r="CF63" s="50"/>
      <c r="CG63" s="50"/>
      <c r="CH63" s="50"/>
      <c r="CI63" s="50"/>
      <c r="CJ63" s="47"/>
    </row>
    <row r="64" ht="27" customHeight="1" spans="1:88">
      <c r="A64" s="29"/>
      <c r="B64" s="34" t="s">
        <v>297</v>
      </c>
      <c r="C64" s="35">
        <f>网约车!C49-网约车!C51</f>
        <v>36.601608184142</v>
      </c>
      <c r="D64" s="36">
        <f t="shared" si="37"/>
        <v>0.112134457775846</v>
      </c>
      <c r="E64" s="35">
        <f>网约车!E49-网约车!E51</f>
        <v>28.8135668143513</v>
      </c>
      <c r="F64" s="36">
        <f t="shared" si="38"/>
        <v>0.390316252662279</v>
      </c>
      <c r="G64" s="35">
        <f>网约车!G49-网约车!G51</f>
        <v>33.467815713144</v>
      </c>
      <c r="H64" s="36">
        <f t="shared" si="39"/>
        <v>0.425829576622095</v>
      </c>
      <c r="I64" s="35">
        <f>网约车!I49-网约车!I51</f>
        <v>29.00280807633</v>
      </c>
      <c r="J64" s="36">
        <f t="shared" si="40"/>
        <v>0.174587023213094</v>
      </c>
      <c r="K64" s="35">
        <f>网约车!K49-网约车!K51</f>
        <v>34.814496476763</v>
      </c>
      <c r="L64" s="36">
        <f t="shared" si="41"/>
        <v>0.227697598864729</v>
      </c>
      <c r="M64" s="35">
        <f>网约车!M49-网约车!M51</f>
        <v>35.541066409469</v>
      </c>
      <c r="N64" s="36">
        <f t="shared" si="42"/>
        <v>0.363151981114413</v>
      </c>
      <c r="O64" s="35">
        <f>网约车!O49-网约车!O51</f>
        <v>34.631969149232</v>
      </c>
      <c r="P64" s="36">
        <f t="shared" si="43"/>
        <v>0.371298508663618</v>
      </c>
      <c r="Q64" s="127"/>
      <c r="R64" s="127"/>
      <c r="S64" s="131">
        <f t="shared" si="44"/>
        <v>232.873330823431</v>
      </c>
      <c r="T64" s="132">
        <f t="shared" si="45"/>
        <v>0.123550179896562</v>
      </c>
      <c r="U64" s="36"/>
      <c r="V64" s="35">
        <f>网约车!V49-网约车!V51</f>
        <v>32.911135814766</v>
      </c>
      <c r="W64" s="36">
        <f t="shared" si="49"/>
        <v>0.408863695970615</v>
      </c>
      <c r="X64" s="35">
        <f>网约车!X49-网约车!X51</f>
        <v>20.7244695292722</v>
      </c>
      <c r="Y64" s="36">
        <f t="shared" si="50"/>
        <v>0.288589815325054</v>
      </c>
      <c r="Z64" s="35">
        <f>网约车!Z49-网约车!Z51</f>
        <v>23.4725217248137</v>
      </c>
      <c r="AA64" s="36">
        <f t="shared" si="51"/>
        <v>0.202865742332063</v>
      </c>
      <c r="AB64" s="35">
        <f>网约车!AB49-网约车!AB51</f>
        <v>24.6919193751967</v>
      </c>
      <c r="AC64" s="36">
        <f t="shared" si="52"/>
        <v>0.0712710200127717</v>
      </c>
      <c r="AD64" s="35">
        <f>网约车!AD49-网约车!AD51</f>
        <v>28.3575503519405</v>
      </c>
      <c r="AE64" s="36">
        <f t="shared" si="53"/>
        <v>0.211158195903723</v>
      </c>
      <c r="AF64" s="35">
        <f>网约车!AF49-网约车!AF51</f>
        <v>26.0727100879927</v>
      </c>
      <c r="AG64" s="36">
        <f t="shared" si="54"/>
        <v>-0.0974118718445001</v>
      </c>
      <c r="AH64" s="35">
        <f>网约车!AH49-网约车!AH51</f>
        <v>25.254872611932</v>
      </c>
      <c r="AI64" s="36">
        <f t="shared" si="55"/>
        <v>-0.143985304519712</v>
      </c>
      <c r="AJ64" s="35">
        <f>网约车!AJ49-网约车!AJ51</f>
        <v>25.7804460099008</v>
      </c>
      <c r="AK64" s="36">
        <f t="shared" si="56"/>
        <v>-0.12587710848434</v>
      </c>
      <c r="AL64" s="35">
        <f>网约车!AL49-网约车!AL51</f>
        <v>23.9653515167286</v>
      </c>
      <c r="AM64" s="36">
        <f t="shared" si="57"/>
        <v>-0.234417753434905</v>
      </c>
      <c r="AN64" s="35">
        <f>网约车!AN49-网约车!AN51</f>
        <v>32.176872664296</v>
      </c>
      <c r="AO64" s="36">
        <f t="shared" si="58"/>
        <v>-0.0184060429220172</v>
      </c>
      <c r="AP64" s="35">
        <f>网约车!AP49-网约车!AP51</f>
        <v>35.611025545867</v>
      </c>
      <c r="AQ64" s="36">
        <f t="shared" si="59"/>
        <v>0.0341331825493236</v>
      </c>
      <c r="AR64" s="35">
        <f>网约车!AR49-网约车!AR51</f>
        <v>42.845488900983</v>
      </c>
      <c r="AS64" s="36">
        <f t="shared" si="60"/>
        <v>2.77852074665649</v>
      </c>
      <c r="AT64" s="35">
        <f t="shared" si="46"/>
        <v>341.864364133689</v>
      </c>
      <c r="AU64" s="36">
        <f t="shared" si="47"/>
        <v>0.127667483250634</v>
      </c>
      <c r="AV64" s="37"/>
      <c r="AW64" s="35">
        <v>23.360056695969</v>
      </c>
      <c r="AX64" s="36"/>
      <c r="AY64" s="35">
        <v>16.0830617181654</v>
      </c>
      <c r="AZ64" s="36"/>
      <c r="BA64" s="35">
        <v>19.5138334219297</v>
      </c>
      <c r="BB64" s="36"/>
      <c r="BC64" s="35">
        <v>23.0491807525068</v>
      </c>
      <c r="BD64" s="36"/>
      <c r="BE64" s="35">
        <v>23.4135808582636</v>
      </c>
      <c r="BF64" s="36"/>
      <c r="BG64" s="35">
        <v>28.8866087140699</v>
      </c>
      <c r="BH64" s="36"/>
      <c r="BI64" s="35">
        <v>29.5028493614378</v>
      </c>
      <c r="BJ64" s="36"/>
      <c r="BK64" s="35">
        <v>29.4929308683354</v>
      </c>
      <c r="BL64" s="36"/>
      <c r="BM64" s="35">
        <v>31.3034316355335</v>
      </c>
      <c r="BN64" s="36"/>
      <c r="BO64" s="35">
        <v>32.7802269281286</v>
      </c>
      <c r="BP64" s="36"/>
      <c r="BQ64" s="35">
        <v>34.4356279701609</v>
      </c>
      <c r="BR64" s="36"/>
      <c r="BS64" s="35">
        <v>11.3392228794551</v>
      </c>
      <c r="BT64" s="36"/>
      <c r="BU64" s="35">
        <f t="shared" si="48"/>
        <v>303.160611803956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15" customFormat="1" ht="27" customHeight="1" spans="1:88">
      <c r="A65" s="48" t="s">
        <v>104</v>
      </c>
      <c r="B65" s="34" t="s">
        <v>293</v>
      </c>
      <c r="C65" s="35">
        <f>C66+C67+C68+C69</f>
        <v>170.613186895033</v>
      </c>
      <c r="D65" s="36">
        <f t="shared" si="37"/>
        <v>-0.0481799577456927</v>
      </c>
      <c r="E65" s="35">
        <f>E66+E67+E68+E69</f>
        <v>175.429078882335</v>
      </c>
      <c r="F65" s="36">
        <f t="shared" si="38"/>
        <v>-0.0398600357915071</v>
      </c>
      <c r="G65" s="35">
        <f>G66+G67+G68+G69</f>
        <v>172.989607206946</v>
      </c>
      <c r="H65" s="36">
        <f t="shared" si="39"/>
        <v>-0.0138930678937174</v>
      </c>
      <c r="I65" s="35">
        <f>I66+I67+I68+I69</f>
        <v>172.17465746766</v>
      </c>
      <c r="J65" s="36">
        <f t="shared" si="40"/>
        <v>-0.0248584598267482</v>
      </c>
      <c r="K65" s="35">
        <f>K66+K67+K68+K69</f>
        <v>174.66902787057</v>
      </c>
      <c r="L65" s="36">
        <f t="shared" si="41"/>
        <v>-0.0200884095767009</v>
      </c>
      <c r="M65" s="35">
        <f>M66+M67+M68+M69</f>
        <v>170.853779647102</v>
      </c>
      <c r="N65" s="36">
        <f t="shared" si="42"/>
        <v>-0.0116447259870962</v>
      </c>
      <c r="O65" s="35">
        <f>O66+O67+O68+O69</f>
        <v>167.474547376869</v>
      </c>
      <c r="P65" s="36">
        <f t="shared" si="43"/>
        <v>-0.0094722051044106</v>
      </c>
      <c r="Q65" s="127"/>
      <c r="R65" s="127"/>
      <c r="S65" s="131">
        <f t="shared" si="44"/>
        <v>1204.20388534651</v>
      </c>
      <c r="T65" s="132">
        <f t="shared" si="45"/>
        <v>-0.137484533497557</v>
      </c>
      <c r="U65" s="36"/>
      <c r="V65" s="35">
        <f>V66+V67+V68+V69</f>
        <v>179.249416193159</v>
      </c>
      <c r="W65" s="36">
        <f t="shared" si="49"/>
        <v>0.0511870478333951</v>
      </c>
      <c r="X65" s="35">
        <f>X66+X67+X68+X69</f>
        <v>182.711985149949</v>
      </c>
      <c r="Y65" s="36">
        <f t="shared" si="50"/>
        <v>0.013463263629397</v>
      </c>
      <c r="Z65" s="35">
        <f>Z66+Z67+Z68+Z69</f>
        <v>175.42682398292</v>
      </c>
      <c r="AA65" s="36">
        <f t="shared" si="51"/>
        <v>-0.000873303996682728</v>
      </c>
      <c r="AB65" s="35">
        <f>AB66+AB67+AB68+AB69</f>
        <v>176.563760617838</v>
      </c>
      <c r="AC65" s="36">
        <f t="shared" si="52"/>
        <v>0.0285783630150376</v>
      </c>
      <c r="AD65" s="35">
        <f>AD66+AD67+AD68+AD69</f>
        <v>178.24978250856</v>
      </c>
      <c r="AE65" s="36">
        <f t="shared" si="53"/>
        <v>0.0184815835201382</v>
      </c>
      <c r="AF65" s="35">
        <f>AF66+AF67+AF68+AF69</f>
        <v>172.866765766731</v>
      </c>
      <c r="AG65" s="36">
        <f t="shared" si="54"/>
        <v>0.0082096865073662</v>
      </c>
      <c r="AH65" s="35">
        <f>AH66+AH67+AH68+AH69</f>
        <v>169.0760705958</v>
      </c>
      <c r="AI65" s="36">
        <f t="shared" si="55"/>
        <v>0.00618854214901687</v>
      </c>
      <c r="AJ65" s="35">
        <f>AJ66+AJ67+AJ68+AJ69</f>
        <v>162.008776908897</v>
      </c>
      <c r="AK65" s="36">
        <f t="shared" si="56"/>
        <v>-0.000760289324362451</v>
      </c>
      <c r="AL65" s="35">
        <f>AL66+AL67+AL68+AL69</f>
        <v>160.265225367767</v>
      </c>
      <c r="AM65" s="36">
        <f t="shared" si="57"/>
        <v>-0.00859339324170594</v>
      </c>
      <c r="AN65" s="35">
        <f>AN66+AN67+AN68+AN69</f>
        <v>169.875458816801</v>
      </c>
      <c r="AO65" s="36">
        <f t="shared" si="58"/>
        <v>-0.0132920002957276</v>
      </c>
      <c r="AP65" s="35">
        <f>AP66+AP67+AP68+AP69</f>
        <v>165.936464972812</v>
      </c>
      <c r="AQ65" s="36">
        <f t="shared" si="59"/>
        <v>-0.0313542962271438</v>
      </c>
      <c r="AR65" s="35">
        <f>AR66+AR67+AR68+AR69</f>
        <v>167.748032112002</v>
      </c>
      <c r="AS65" s="36">
        <f t="shared" si="60"/>
        <v>-0.0441225164981985</v>
      </c>
      <c r="AT65" s="35">
        <f t="shared" si="46"/>
        <v>2059.97856299324</v>
      </c>
      <c r="AU65" s="36">
        <f t="shared" si="47"/>
        <v>0.00227458745958731</v>
      </c>
      <c r="AV65" s="37"/>
      <c r="AW65" s="38">
        <f>AW66+AW67+AW68+AW69</f>
        <v>170.520952063299</v>
      </c>
      <c r="AX65" s="37"/>
      <c r="AY65" s="38">
        <f>AY66+AY67+AY68+AY69</f>
        <v>180.284763845928</v>
      </c>
      <c r="AZ65" s="37"/>
      <c r="BA65" s="38">
        <f>BA66+BA67+BA68+BA69</f>
        <v>175.580158837371</v>
      </c>
      <c r="BB65" s="37"/>
      <c r="BC65" s="38">
        <f>BC66+BC67+BC68+BC69</f>
        <v>171.658054424052</v>
      </c>
      <c r="BD65" s="37"/>
      <c r="BE65" s="38">
        <f>BE66+BE67+BE68+BE69</f>
        <v>175.015224028383</v>
      </c>
      <c r="BF65" s="37"/>
      <c r="BG65" s="38">
        <f>BG66+BG67+BG68+BG69</f>
        <v>171.459139978683</v>
      </c>
      <c r="BH65" s="37"/>
      <c r="BI65" s="38">
        <f>BI66+BI67+BI68+BI69</f>
        <v>168.036171664893</v>
      </c>
      <c r="BJ65" s="37"/>
      <c r="BK65" s="38">
        <f>BK66+BK67+BK68+BK69</f>
        <v>162.132044171217</v>
      </c>
      <c r="BL65" s="37"/>
      <c r="BM65" s="38">
        <f>BM66+BM67+BM68+BM69</f>
        <v>161.654385067902</v>
      </c>
      <c r="BN65" s="37"/>
      <c r="BO65" s="38">
        <f>BO66+BO67+BO68+BO69</f>
        <v>172.163860906889</v>
      </c>
      <c r="BP65" s="37"/>
      <c r="BQ65" s="38">
        <f>BQ66+BQ67+BQ68+BQ69</f>
        <v>171.30769725865</v>
      </c>
      <c r="BR65" s="37"/>
      <c r="BS65" s="38">
        <f>BS66+BS67+BS68+BS69</f>
        <v>175.49114296266</v>
      </c>
      <c r="BT65" s="37"/>
      <c r="BU65" s="38">
        <f t="shared" si="48"/>
        <v>2055.30359520993</v>
      </c>
      <c r="BV65" s="37"/>
      <c r="BW65" s="39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</row>
    <row r="66" ht="27" customHeight="1" spans="1:88">
      <c r="A66" s="45"/>
      <c r="B66" s="34" t="s">
        <v>294</v>
      </c>
      <c r="C66" s="35">
        <f>班线包车!C44</f>
        <v>114.3916</v>
      </c>
      <c r="D66" s="36">
        <f t="shared" si="37"/>
        <v>-0.122243477153251</v>
      </c>
      <c r="E66" s="35">
        <f>班线包车!E44</f>
        <v>120.983</v>
      </c>
      <c r="F66" s="36">
        <f t="shared" si="38"/>
        <v>-0.0921751762815822</v>
      </c>
      <c r="G66" s="35">
        <f>班线包车!G44</f>
        <v>119.5115</v>
      </c>
      <c r="H66" s="36">
        <f t="shared" si="39"/>
        <v>-0.067645739473017</v>
      </c>
      <c r="I66" s="35">
        <f>班线包车!I44</f>
        <v>120.3786</v>
      </c>
      <c r="J66" s="36">
        <f t="shared" si="40"/>
        <v>-0.0749813272842955</v>
      </c>
      <c r="K66" s="35">
        <f>班线包车!K44</f>
        <v>122.8015</v>
      </c>
      <c r="L66" s="36">
        <f t="shared" si="41"/>
        <v>-0.0775966126876989</v>
      </c>
      <c r="M66" s="35">
        <f>班线包车!M44</f>
        <v>121.1953</v>
      </c>
      <c r="N66" s="36">
        <f t="shared" si="42"/>
        <v>-0.0733567500779879</v>
      </c>
      <c r="O66" s="35">
        <f>班线包车!O44</f>
        <v>120.2273</v>
      </c>
      <c r="P66" s="36">
        <f t="shared" si="43"/>
        <v>-0.0614860281380973</v>
      </c>
      <c r="Q66" s="127"/>
      <c r="R66" s="127"/>
      <c r="S66" s="131">
        <f t="shared" si="44"/>
        <v>839.4888</v>
      </c>
      <c r="T66" s="132">
        <f t="shared" si="45"/>
        <v>-0.188258473553601</v>
      </c>
      <c r="U66" s="36"/>
      <c r="V66" s="35">
        <f>班线包车!V44</f>
        <v>130.3227</v>
      </c>
      <c r="W66" s="36">
        <f t="shared" si="49"/>
        <v>0.0506683844212132</v>
      </c>
      <c r="X66" s="35">
        <f>班线包车!X44</f>
        <v>133.2669</v>
      </c>
      <c r="Y66" s="36">
        <f t="shared" si="50"/>
        <v>0.0268013166045655</v>
      </c>
      <c r="Z66" s="35">
        <f>班线包车!Z44</f>
        <v>128.1825</v>
      </c>
      <c r="AA66" s="36">
        <f t="shared" si="51"/>
        <v>0.0293964118790253</v>
      </c>
      <c r="AB66" s="35">
        <f>班线包车!AB44</f>
        <v>130.1364</v>
      </c>
      <c r="AC66" s="36">
        <f t="shared" si="52"/>
        <v>0.0342856007470842</v>
      </c>
      <c r="AD66" s="35">
        <f>班线包车!AD44</f>
        <v>133.1321</v>
      </c>
      <c r="AE66" s="36">
        <f t="shared" si="53"/>
        <v>0.0140276821458385</v>
      </c>
      <c r="AF66" s="35">
        <f>班线包车!AF44</f>
        <v>130.7896</v>
      </c>
      <c r="AG66" s="36">
        <f t="shared" si="54"/>
        <v>0.0195348431132272</v>
      </c>
      <c r="AH66" s="35">
        <f>班线包车!AH44</f>
        <v>128.1039</v>
      </c>
      <c r="AI66" s="36">
        <f t="shared" si="55"/>
        <v>0.0138267192584807</v>
      </c>
      <c r="AJ66" s="35">
        <f>班线包车!AJ44</f>
        <v>120.2483</v>
      </c>
      <c r="AK66" s="36">
        <f t="shared" si="56"/>
        <v>-0.0277481763451223</v>
      </c>
      <c r="AL66" s="35">
        <f>班线包车!AL44</f>
        <v>118.1387</v>
      </c>
      <c r="AM66" s="36">
        <f t="shared" si="57"/>
        <v>-0.0452250219421245</v>
      </c>
      <c r="AN66" s="35">
        <f>班线包车!AN44</f>
        <v>123.2278</v>
      </c>
      <c r="AO66" s="36">
        <f t="shared" si="58"/>
        <v>-0.0515357113994003</v>
      </c>
      <c r="AP66" s="35">
        <f>班线包车!AP44</f>
        <v>118.7277</v>
      </c>
      <c r="AQ66" s="36">
        <f t="shared" si="59"/>
        <v>-0.0707046751356047</v>
      </c>
      <c r="AR66" s="35">
        <f>班线包车!AR44</f>
        <v>116.6459</v>
      </c>
      <c r="AS66" s="36">
        <f t="shared" si="60"/>
        <v>-0.0771203243207319</v>
      </c>
      <c r="AT66" s="35">
        <f t="shared" si="46"/>
        <v>1510.9225</v>
      </c>
      <c r="AU66" s="36">
        <f t="shared" si="47"/>
        <v>-0.00701356465386316</v>
      </c>
      <c r="AV66" s="37"/>
      <c r="AW66" s="35">
        <v>124.0379</v>
      </c>
      <c r="AX66" s="36"/>
      <c r="AY66" s="35">
        <v>129.7884</v>
      </c>
      <c r="AZ66" s="36"/>
      <c r="BA66" s="35">
        <v>124.522</v>
      </c>
      <c r="BB66" s="36"/>
      <c r="BC66" s="35">
        <v>125.8225</v>
      </c>
      <c r="BD66" s="36"/>
      <c r="BE66" s="35">
        <v>131.2904</v>
      </c>
      <c r="BF66" s="36"/>
      <c r="BG66" s="35">
        <v>128.2836</v>
      </c>
      <c r="BH66" s="36"/>
      <c r="BI66" s="35">
        <v>126.3568</v>
      </c>
      <c r="BJ66" s="36"/>
      <c r="BK66" s="35">
        <v>123.6802</v>
      </c>
      <c r="BL66" s="36"/>
      <c r="BM66" s="35">
        <v>123.7346</v>
      </c>
      <c r="BN66" s="36"/>
      <c r="BO66" s="35">
        <v>129.9235</v>
      </c>
      <c r="BP66" s="36"/>
      <c r="BQ66" s="35">
        <v>127.761</v>
      </c>
      <c r="BR66" s="36"/>
      <c r="BS66" s="35">
        <v>126.3934</v>
      </c>
      <c r="BT66" s="36"/>
      <c r="BU66" s="35">
        <f t="shared" si="48"/>
        <v>1521.5943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ht="27" customHeight="1" spans="1:88">
      <c r="A67" s="45"/>
      <c r="B67" s="34" t="s">
        <v>295</v>
      </c>
      <c r="C67" s="35">
        <f>公交!C53-公交!C55</f>
        <v>36.22</v>
      </c>
      <c r="D67" s="36">
        <f t="shared" si="37"/>
        <v>-0.0229295926625303</v>
      </c>
      <c r="E67" s="35">
        <f>公交!E53-公交!E55</f>
        <v>34.03</v>
      </c>
      <c r="F67" s="36">
        <f t="shared" si="38"/>
        <v>-0.0925333333333334</v>
      </c>
      <c r="G67" s="35">
        <f>公交!G53-公交!G55</f>
        <v>33.84</v>
      </c>
      <c r="H67" s="36">
        <f t="shared" si="39"/>
        <v>-0.0402722631877486</v>
      </c>
      <c r="I67" s="35">
        <f>公交!I53-公交!I55</f>
        <v>32.5</v>
      </c>
      <c r="J67" s="36">
        <f t="shared" si="40"/>
        <v>-0.0494296577946768</v>
      </c>
      <c r="K67" s="35">
        <f>公交!K53-公交!K55</f>
        <v>32.56</v>
      </c>
      <c r="L67" s="36">
        <f t="shared" si="41"/>
        <v>0.0124378109452739</v>
      </c>
      <c r="M67" s="35">
        <f>公交!M53-公交!M55</f>
        <v>30.22</v>
      </c>
      <c r="N67" s="36">
        <f t="shared" si="42"/>
        <v>0.0285908781484003</v>
      </c>
      <c r="O67" s="35">
        <f>公交!O53-公交!O55</f>
        <v>27.48</v>
      </c>
      <c r="P67" s="36">
        <f t="shared" si="43"/>
        <v>-0.00362581580855625</v>
      </c>
      <c r="Q67" s="127"/>
      <c r="R67" s="127"/>
      <c r="S67" s="131">
        <f t="shared" si="44"/>
        <v>226.85</v>
      </c>
      <c r="T67" s="132">
        <f t="shared" si="45"/>
        <v>-0.1307096873084</v>
      </c>
      <c r="U67" s="36"/>
      <c r="V67" s="35">
        <f>公交!V53-公交!V55</f>
        <v>37.07</v>
      </c>
      <c r="W67" s="36">
        <f t="shared" si="49"/>
        <v>0.110545236668664</v>
      </c>
      <c r="X67" s="35">
        <f>公交!X53-公交!X55</f>
        <v>37.5</v>
      </c>
      <c r="Y67" s="36">
        <f t="shared" si="50"/>
        <v>0.0305028854080791</v>
      </c>
      <c r="Z67" s="35">
        <f>公交!Z53-公交!Z55</f>
        <v>35.26</v>
      </c>
      <c r="AA67" s="36">
        <f t="shared" si="51"/>
        <v>-0.0488265443755053</v>
      </c>
      <c r="AB67" s="35">
        <f>公交!AB53-公交!AB55</f>
        <v>34.19</v>
      </c>
      <c r="AC67" s="36">
        <f t="shared" si="52"/>
        <v>0.0751572327044023</v>
      </c>
      <c r="AD67" s="35">
        <f>公交!AD53-公交!AD55</f>
        <v>32.16</v>
      </c>
      <c r="AE67" s="36">
        <f t="shared" si="53"/>
        <v>0.0788326065078833</v>
      </c>
      <c r="AF67" s="35">
        <f>公交!AF53-公交!AF55</f>
        <v>29.38</v>
      </c>
      <c r="AG67" s="36">
        <f t="shared" si="54"/>
        <v>0.0173130193905815</v>
      </c>
      <c r="AH67" s="35">
        <f>公交!AH53-公交!AH55</f>
        <v>27.58</v>
      </c>
      <c r="AI67" s="36">
        <f t="shared" si="55"/>
        <v>0.00254452926208582</v>
      </c>
      <c r="AJ67" s="35">
        <f>公交!AJ53-公交!AJ55</f>
        <v>27.82</v>
      </c>
      <c r="AK67" s="36">
        <f t="shared" si="56"/>
        <v>0.124494745351657</v>
      </c>
      <c r="AL67" s="35">
        <f>公交!AL53-公交!AL55</f>
        <v>28.46</v>
      </c>
      <c r="AM67" s="36">
        <f t="shared" si="57"/>
        <v>0.167350287120591</v>
      </c>
      <c r="AN67" s="35">
        <f>公交!AN53-公交!AN55</f>
        <v>32.53</v>
      </c>
      <c r="AO67" s="36">
        <f t="shared" si="58"/>
        <v>0.156416637042304</v>
      </c>
      <c r="AP67" s="35">
        <f>公交!AP53-公交!AP55</f>
        <v>32.45</v>
      </c>
      <c r="AQ67" s="36">
        <f t="shared" si="59"/>
        <v>0.103741496598639</v>
      </c>
      <c r="AR67" s="35">
        <f>公交!AR53-公交!AR55</f>
        <v>33.4</v>
      </c>
      <c r="AS67" s="36">
        <f t="shared" si="60"/>
        <v>-0.0231061713951446</v>
      </c>
      <c r="AT67" s="35">
        <f t="shared" si="46"/>
        <v>387.8</v>
      </c>
      <c r="AU67" s="36">
        <f t="shared" si="47"/>
        <v>0.060490045941807</v>
      </c>
      <c r="AV67" s="37"/>
      <c r="AW67" s="35">
        <v>33.38</v>
      </c>
      <c r="AX67" s="36"/>
      <c r="AY67" s="35">
        <v>36.39</v>
      </c>
      <c r="AZ67" s="36"/>
      <c r="BA67" s="35">
        <v>37.07</v>
      </c>
      <c r="BB67" s="36"/>
      <c r="BC67" s="35">
        <v>31.8</v>
      </c>
      <c r="BD67" s="36"/>
      <c r="BE67" s="35">
        <v>29.81</v>
      </c>
      <c r="BF67" s="36"/>
      <c r="BG67" s="35">
        <v>28.88</v>
      </c>
      <c r="BH67" s="36"/>
      <c r="BI67" s="35">
        <v>27.51</v>
      </c>
      <c r="BJ67" s="36"/>
      <c r="BK67" s="35">
        <v>24.74</v>
      </c>
      <c r="BL67" s="36"/>
      <c r="BM67" s="35">
        <v>24.38</v>
      </c>
      <c r="BN67" s="36"/>
      <c r="BO67" s="35">
        <v>28.13</v>
      </c>
      <c r="BP67" s="36"/>
      <c r="BQ67" s="35">
        <v>29.4</v>
      </c>
      <c r="BR67" s="36"/>
      <c r="BS67" s="35">
        <v>34.19</v>
      </c>
      <c r="BT67" s="36"/>
      <c r="BU67" s="35">
        <f t="shared" si="48"/>
        <v>365.68</v>
      </c>
      <c r="BV67" s="36"/>
      <c r="BW67" s="40"/>
      <c r="BX67" s="49"/>
      <c r="BY67" s="49"/>
      <c r="BZ67" s="49"/>
      <c r="CA67" s="49"/>
      <c r="CB67" s="49"/>
      <c r="CC67" s="49"/>
      <c r="CD67" s="50"/>
      <c r="CE67" s="49"/>
      <c r="CF67" s="50"/>
      <c r="CG67" s="50"/>
      <c r="CH67" s="50"/>
      <c r="CI67" s="50"/>
      <c r="CJ67" s="47"/>
    </row>
    <row r="68" ht="27" customHeight="1" spans="1:88">
      <c r="A68" s="45"/>
      <c r="B68" s="34" t="s">
        <v>296</v>
      </c>
      <c r="C68" s="35">
        <f>出租!C53-出租!C55</f>
        <v>10.22</v>
      </c>
      <c r="D68" s="36">
        <f t="shared" si="37"/>
        <v>-0.0285171102661608</v>
      </c>
      <c r="E68" s="35">
        <f>出租!E53-出租!E55</f>
        <v>11.06</v>
      </c>
      <c r="F68" s="36">
        <f t="shared" si="38"/>
        <v>0.076923076923076</v>
      </c>
      <c r="G68" s="35">
        <f>出租!G53-出租!G55</f>
        <v>10.71</v>
      </c>
      <c r="H68" s="36">
        <f t="shared" si="39"/>
        <v>0.0583003952569172</v>
      </c>
      <c r="I68" s="35">
        <f>出租!I53-出租!I55</f>
        <v>10.98</v>
      </c>
      <c r="J68" s="36">
        <f t="shared" si="40"/>
        <v>0.103517587939699</v>
      </c>
      <c r="K68" s="35">
        <f>出租!K53-出租!K55</f>
        <v>11.09</v>
      </c>
      <c r="L68" s="36">
        <f t="shared" si="41"/>
        <v>0.040337711069419</v>
      </c>
      <c r="M68" s="35">
        <f>出租!M53-出租!M55</f>
        <v>11</v>
      </c>
      <c r="N68" s="36">
        <f t="shared" si="42"/>
        <v>0.0516252390057352</v>
      </c>
      <c r="O68" s="35">
        <f>出租!O53-出租!O55</f>
        <v>10.87</v>
      </c>
      <c r="P68" s="36">
        <f t="shared" si="43"/>
        <v>0.0532945736434092</v>
      </c>
      <c r="Q68" s="127"/>
      <c r="R68" s="127"/>
      <c r="S68" s="131">
        <f t="shared" si="44"/>
        <v>75.93</v>
      </c>
      <c r="T68" s="132">
        <f t="shared" si="45"/>
        <v>-0.0809731299927384</v>
      </c>
      <c r="U68" s="36"/>
      <c r="V68" s="35">
        <f>出租!V53-出租!V55</f>
        <v>10.52</v>
      </c>
      <c r="W68" s="36">
        <f t="shared" si="49"/>
        <v>0.346991037131884</v>
      </c>
      <c r="X68" s="35">
        <f>出租!X53-出租!X55</f>
        <v>10.27</v>
      </c>
      <c r="Y68" s="36">
        <f t="shared" si="50"/>
        <v>-0.0481927710843363</v>
      </c>
      <c r="Z68" s="35">
        <f>出租!Z53-出租!Z55</f>
        <v>10.12</v>
      </c>
      <c r="AA68" s="36">
        <f t="shared" si="51"/>
        <v>-0.00295566502463018</v>
      </c>
      <c r="AB68" s="35">
        <f>出租!AB53-出租!AB55</f>
        <v>9.94999999999999</v>
      </c>
      <c r="AC68" s="36">
        <f t="shared" si="52"/>
        <v>0.00302419354838701</v>
      </c>
      <c r="AD68" s="35">
        <f>出租!AD53-出租!AD55</f>
        <v>10.66</v>
      </c>
      <c r="AE68" s="36">
        <f t="shared" si="53"/>
        <v>0.0533596837944661</v>
      </c>
      <c r="AF68" s="35">
        <f>出租!AF53-出租!AF55</f>
        <v>10.46</v>
      </c>
      <c r="AG68" s="36">
        <f t="shared" si="54"/>
        <v>-0.0421245421245414</v>
      </c>
      <c r="AH68" s="35">
        <f>出租!AH53-出租!AH55</f>
        <v>10.32</v>
      </c>
      <c r="AI68" s="36">
        <f t="shared" si="55"/>
        <v>0.0424242424242407</v>
      </c>
      <c r="AJ68" s="35">
        <f>出租!AJ53-出租!AJ55</f>
        <v>10.32</v>
      </c>
      <c r="AK68" s="36">
        <f t="shared" si="56"/>
        <v>0.0382293762575474</v>
      </c>
      <c r="AL68" s="35">
        <f>出租!AL53-出租!AL55</f>
        <v>10.16</v>
      </c>
      <c r="AM68" s="36">
        <f t="shared" si="57"/>
        <v>0.0221327967806839</v>
      </c>
      <c r="AN68" s="35">
        <f>出租!AN53-出租!AN55</f>
        <v>10.15</v>
      </c>
      <c r="AO68" s="36">
        <f t="shared" si="58"/>
        <v>0.00197433366238942</v>
      </c>
      <c r="AP68" s="35">
        <f>出租!AP53-出租!AP55</f>
        <v>9.77000000000001</v>
      </c>
      <c r="AQ68" s="36">
        <f t="shared" si="59"/>
        <v>-0.00509164969449893</v>
      </c>
      <c r="AR68" s="35">
        <f>出租!AR53-出租!AR55</f>
        <v>9.81</v>
      </c>
      <c r="AS68" s="36">
        <f t="shared" si="60"/>
        <v>-0.0150602409638562</v>
      </c>
      <c r="AT68" s="35">
        <f t="shared" si="46"/>
        <v>122.51</v>
      </c>
      <c r="AU68" s="36">
        <f t="shared" si="47"/>
        <v>0.0260469011725297</v>
      </c>
      <c r="AV68" s="37"/>
      <c r="AW68" s="35">
        <v>7.81</v>
      </c>
      <c r="AX68" s="36"/>
      <c r="AY68" s="35">
        <v>10.79</v>
      </c>
      <c r="AZ68" s="36"/>
      <c r="BA68" s="35">
        <v>10.15</v>
      </c>
      <c r="BB68" s="36"/>
      <c r="BC68" s="35">
        <v>9.91999999999999</v>
      </c>
      <c r="BD68" s="36"/>
      <c r="BE68" s="35">
        <v>10.12</v>
      </c>
      <c r="BF68" s="36"/>
      <c r="BG68" s="35">
        <v>10.92</v>
      </c>
      <c r="BH68" s="36"/>
      <c r="BI68" s="35">
        <v>9.90000000000001</v>
      </c>
      <c r="BJ68" s="36"/>
      <c r="BK68" s="35">
        <v>9.94</v>
      </c>
      <c r="BL68" s="36"/>
      <c r="BM68" s="35">
        <v>9.94</v>
      </c>
      <c r="BN68" s="36"/>
      <c r="BO68" s="35">
        <v>10.13</v>
      </c>
      <c r="BP68" s="36"/>
      <c r="BQ68" s="35">
        <v>9.81999999999999</v>
      </c>
      <c r="BR68" s="36"/>
      <c r="BS68" s="35">
        <v>9.96000000000001</v>
      </c>
      <c r="BT68" s="36"/>
      <c r="BU68" s="35">
        <f t="shared" si="48"/>
        <v>119.4</v>
      </c>
      <c r="BV68" s="36"/>
      <c r="BW68" s="40"/>
      <c r="BX68" s="49"/>
      <c r="BY68" s="49"/>
      <c r="BZ68" s="49"/>
      <c r="CA68" s="49"/>
      <c r="CB68" s="49"/>
      <c r="CC68" s="49"/>
      <c r="CD68" s="50"/>
      <c r="CE68" s="49"/>
      <c r="CF68" s="50"/>
      <c r="CG68" s="50"/>
      <c r="CH68" s="50"/>
      <c r="CI68" s="50"/>
      <c r="CJ68" s="47"/>
    </row>
    <row r="69" ht="27" customHeight="1" spans="1:88">
      <c r="A69" s="29"/>
      <c r="B69" s="34" t="s">
        <v>297</v>
      </c>
      <c r="C69" s="35">
        <f>网约车!C53-网约车!C55</f>
        <v>9.7815868950326</v>
      </c>
      <c r="D69" s="36">
        <f t="shared" ref="D69:D94" si="61">C69/V69-1</f>
        <v>6.31762429833029</v>
      </c>
      <c r="E69" s="35">
        <f>网约车!E53-网约车!E55</f>
        <v>9.3560788823352</v>
      </c>
      <c r="F69" s="36">
        <f t="shared" ref="F69:F94" si="62">E69/X69-1</f>
        <v>4.58543479572801</v>
      </c>
      <c r="G69" s="35">
        <f>网约车!G53-网约车!G55</f>
        <v>8.92810720694639</v>
      </c>
      <c r="H69" s="36">
        <f t="shared" ref="H69:H94" si="63">G69/Z69-1</f>
        <v>3.78892471949071</v>
      </c>
      <c r="I69" s="35">
        <f>网约车!I53-网约车!I55</f>
        <v>8.3160574676596</v>
      </c>
      <c r="J69" s="36">
        <f t="shared" ref="J69:J94" si="64">I69/AB69-1</f>
        <v>2.63565648669818</v>
      </c>
      <c r="K69" s="35">
        <f>网约车!K53-网约车!K55</f>
        <v>8.2175278705699</v>
      </c>
      <c r="L69" s="36">
        <f t="shared" ref="L69:L94" si="65">K69/AD69-1</f>
        <v>2.57644184518819</v>
      </c>
      <c r="M69" s="35">
        <f>网约车!M53-网约车!M55</f>
        <v>8.4384796471015</v>
      </c>
      <c r="N69" s="36">
        <f t="shared" ref="N69:N94" si="66">M69/AF69-1</f>
        <v>2.77195099826399</v>
      </c>
      <c r="O69" s="35">
        <f>网约车!O53-网约车!O55</f>
        <v>8.8972473768692</v>
      </c>
      <c r="P69" s="36">
        <f t="shared" ref="P69:P94" si="67">O69/AH69-1</f>
        <v>1.89607855404631</v>
      </c>
      <c r="Q69" s="127"/>
      <c r="R69" s="127"/>
      <c r="S69" s="131">
        <f t="shared" ref="S69:S94" si="68">E69+C69+G69+I69+K69+M69+O69+Q69</f>
        <v>61.9350853465144</v>
      </c>
      <c r="T69" s="132">
        <f t="shared" ref="T69:T94" si="69">S69/SUM(V69,X69,Z69,AB69,AD69,AF69,AH69,AJ69)-1</f>
        <v>2.36768783072526</v>
      </c>
      <c r="U69" s="36"/>
      <c r="V69" s="35">
        <f>网约车!V53-网约车!V55</f>
        <v>1.3367161931591</v>
      </c>
      <c r="W69" s="36">
        <f t="shared" si="49"/>
        <v>-0.74745833270229</v>
      </c>
      <c r="X69" s="35">
        <f>网约车!X53-网约车!X55</f>
        <v>1.6750851499495</v>
      </c>
      <c r="Y69" s="36">
        <f t="shared" si="50"/>
        <v>-0.494903084290293</v>
      </c>
      <c r="Z69" s="35">
        <f>网约车!Z53-网约车!Z55</f>
        <v>1.8643239829203</v>
      </c>
      <c r="AA69" s="36">
        <f t="shared" si="51"/>
        <v>-0.514266068207535</v>
      </c>
      <c r="AB69" s="35">
        <f>网约车!AB53-网约车!AB55</f>
        <v>2.2873606178377</v>
      </c>
      <c r="AC69" s="36">
        <f t="shared" si="52"/>
        <v>-0.444215679795186</v>
      </c>
      <c r="AD69" s="35">
        <f>网约车!AD53-网约车!AD55</f>
        <v>2.2976825085597</v>
      </c>
      <c r="AE69" s="36">
        <f t="shared" si="53"/>
        <v>-0.394521988009412</v>
      </c>
      <c r="AF69" s="35">
        <f>网约车!AF53-网约车!AF55</f>
        <v>2.2371657667306</v>
      </c>
      <c r="AG69" s="36">
        <f t="shared" si="54"/>
        <v>-0.337242106193794</v>
      </c>
      <c r="AH69" s="35">
        <f>网约车!AH53-网约车!AH55</f>
        <v>3.0721705958004</v>
      </c>
      <c r="AI69" s="36">
        <f t="shared" si="55"/>
        <v>-0.280416221182378</v>
      </c>
      <c r="AJ69" s="35">
        <f>网约车!AJ53-网约车!AJ55</f>
        <v>3.6204769088969</v>
      </c>
      <c r="AK69" s="36">
        <f t="shared" si="56"/>
        <v>-0.0401308366542659</v>
      </c>
      <c r="AL69" s="35">
        <f>网约车!AL53-网约车!AL55</f>
        <v>3.5065253677669</v>
      </c>
      <c r="AM69" s="36">
        <f t="shared" si="57"/>
        <v>-0.0259070189957212</v>
      </c>
      <c r="AN69" s="35">
        <f>网约车!AN53-网约车!AN55</f>
        <v>3.96765881680091</v>
      </c>
      <c r="AO69" s="36">
        <f t="shared" si="58"/>
        <v>-0.00319119054405848</v>
      </c>
      <c r="AP69" s="35">
        <f>网约车!AP53-网约车!AP55</f>
        <v>4.9887649728121</v>
      </c>
      <c r="AQ69" s="36">
        <f t="shared" si="59"/>
        <v>0.153019190986575</v>
      </c>
      <c r="AR69" s="35">
        <f>网约车!AR53-网约车!AR55</f>
        <v>7.8921321120021</v>
      </c>
      <c r="AS69" s="36">
        <f t="shared" si="60"/>
        <v>0.595097435651638</v>
      </c>
      <c r="AT69" s="35">
        <f t="shared" ref="AT69:AT94" si="70">X69+V69+Z69+AB69+AD69+AF69+AH69+AJ69+AL69+AN69+AP69+AR69</f>
        <v>38.7460629932362</v>
      </c>
      <c r="AU69" s="36">
        <f t="shared" ref="AU69:AU94" si="71">AT69/SUM(AW69,AY69,BA69,BC69,BE69,BG69,BI69,BK69,BM69,BO69,BQ69,BS69)-1</f>
        <v>-0.203236180455133</v>
      </c>
      <c r="AV69" s="37"/>
      <c r="AW69" s="35">
        <v>5.29305206329895</v>
      </c>
      <c r="AX69" s="36"/>
      <c r="AY69" s="35">
        <v>3.31636384592817</v>
      </c>
      <c r="AZ69" s="36"/>
      <c r="BA69" s="35">
        <v>3.83815883737118</v>
      </c>
      <c r="BB69" s="36"/>
      <c r="BC69" s="35">
        <v>4.11555442405208</v>
      </c>
      <c r="BD69" s="36"/>
      <c r="BE69" s="35">
        <v>3.79482402838341</v>
      </c>
      <c r="BF69" s="36"/>
      <c r="BG69" s="35">
        <v>3.37553997868301</v>
      </c>
      <c r="BH69" s="36"/>
      <c r="BI69" s="35">
        <v>4.26937166489274</v>
      </c>
      <c r="BJ69" s="36"/>
      <c r="BK69" s="35">
        <v>3.77184417121737</v>
      </c>
      <c r="BL69" s="36"/>
      <c r="BM69" s="35">
        <v>3.59978506790154</v>
      </c>
      <c r="BN69" s="36"/>
      <c r="BO69" s="35">
        <v>3.98036090688891</v>
      </c>
      <c r="BP69" s="36"/>
      <c r="BQ69" s="35">
        <v>4.32669725864969</v>
      </c>
      <c r="BR69" s="36"/>
      <c r="BS69" s="35">
        <v>4.94774296265981</v>
      </c>
      <c r="BT69" s="36"/>
      <c r="BU69" s="35">
        <f t="shared" ref="BU69:BU94" si="72">AW69+AY69+BA69+BC69+BE69+BG69+BI69+BK69+BM69+BO69+BQ69+BS69</f>
        <v>48.6292952099269</v>
      </c>
      <c r="BV69" s="36"/>
      <c r="BW69" s="40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7"/>
    </row>
    <row r="70" s="15" customFormat="1" ht="27" customHeight="1" spans="1:88">
      <c r="A70" s="48" t="s">
        <v>105</v>
      </c>
      <c r="B70" s="34" t="s">
        <v>293</v>
      </c>
      <c r="C70" s="35">
        <f>C71+C72+C73+C74</f>
        <v>345.742122157979</v>
      </c>
      <c r="D70" s="36">
        <f t="shared" si="61"/>
        <v>0.193157807087564</v>
      </c>
      <c r="E70" s="35">
        <f>E71+E72+E73+E74</f>
        <v>340.892328018903</v>
      </c>
      <c r="F70" s="36">
        <f t="shared" si="62"/>
        <v>0.193812147082405</v>
      </c>
      <c r="G70" s="35">
        <f>G71+G72+G73+G74</f>
        <v>349.400334656709</v>
      </c>
      <c r="H70" s="36">
        <f t="shared" si="63"/>
        <v>0.203970266294633</v>
      </c>
      <c r="I70" s="35">
        <f>I71+I72+I73+I74</f>
        <v>366.088849642901</v>
      </c>
      <c r="J70" s="36">
        <f t="shared" si="64"/>
        <v>0.0968062933219374</v>
      </c>
      <c r="K70" s="35">
        <f>K71+K72+K73+K74</f>
        <v>377.946709808738</v>
      </c>
      <c r="L70" s="36">
        <f t="shared" si="65"/>
        <v>0.0715007993561063</v>
      </c>
      <c r="M70" s="35">
        <f>M71+M72+M73+M74</f>
        <v>365.466707562812</v>
      </c>
      <c r="N70" s="36">
        <f t="shared" si="66"/>
        <v>0.154843681471659</v>
      </c>
      <c r="O70" s="35">
        <f>O71+O72+O73+O74</f>
        <v>422.436057885001</v>
      </c>
      <c r="P70" s="36">
        <f t="shared" si="67"/>
        <v>0.121704699233526</v>
      </c>
      <c r="Q70" s="127"/>
      <c r="R70" s="127"/>
      <c r="S70" s="131">
        <f t="shared" si="68"/>
        <v>2567.97310973304</v>
      </c>
      <c r="T70" s="132">
        <f t="shared" si="69"/>
        <v>-0.0246678752756646</v>
      </c>
      <c r="U70" s="36"/>
      <c r="V70" s="35">
        <f>V71+V72+V73+V74</f>
        <v>289.770657413639</v>
      </c>
      <c r="W70" s="36">
        <f t="shared" si="49"/>
        <v>0.0230085350823817</v>
      </c>
      <c r="X70" s="35">
        <f>X71+X72+X73+X74</f>
        <v>285.549388027271</v>
      </c>
      <c r="Y70" s="36">
        <f t="shared" si="50"/>
        <v>0.06348353707279</v>
      </c>
      <c r="Z70" s="35">
        <f>Z71+Z72+Z73+Z74</f>
        <v>290.206780381738</v>
      </c>
      <c r="AA70" s="36">
        <f t="shared" si="51"/>
        <v>-0.0137726234093469</v>
      </c>
      <c r="AB70" s="35">
        <f>AB71+AB72+AB73+AB74</f>
        <v>333.777123519336</v>
      </c>
      <c r="AC70" s="36">
        <f t="shared" si="52"/>
        <v>0.0460405331980545</v>
      </c>
      <c r="AD70" s="35">
        <f>AD71+AD72+AD73+AD74</f>
        <v>352.726484232076</v>
      </c>
      <c r="AE70" s="36">
        <f t="shared" si="53"/>
        <v>0.0013774825295263</v>
      </c>
      <c r="AF70" s="35">
        <f>AF71+AF72+AF73+AF74</f>
        <v>316.464222324085</v>
      </c>
      <c r="AG70" s="36">
        <f t="shared" si="54"/>
        <v>-0.0672052084324</v>
      </c>
      <c r="AH70" s="35">
        <f>AH71+AH72+AH73+AH74</f>
        <v>376.601843759464</v>
      </c>
      <c r="AI70" s="36">
        <f t="shared" si="55"/>
        <v>-0.017672727962219</v>
      </c>
      <c r="AJ70" s="35">
        <f>AJ71+AJ72+AJ73+AJ74</f>
        <v>387.82519402581</v>
      </c>
      <c r="AK70" s="36">
        <f t="shared" si="56"/>
        <v>-0.0121272156789468</v>
      </c>
      <c r="AL70" s="35">
        <f>AL71+AL72+AL73+AL74</f>
        <v>330.795840382741</v>
      </c>
      <c r="AM70" s="36">
        <f t="shared" si="57"/>
        <v>-0.0291910916602093</v>
      </c>
      <c r="AN70" s="35">
        <f>AN71+AN72+AN73+AN74</f>
        <v>339.52265502227</v>
      </c>
      <c r="AO70" s="36">
        <f t="shared" si="58"/>
        <v>-0.0611713955879438</v>
      </c>
      <c r="AP70" s="35">
        <f>AP71+AP72+AP73+AP74</f>
        <v>336.592828746624</v>
      </c>
      <c r="AQ70" s="36">
        <f t="shared" si="59"/>
        <v>-0.00286090612982903</v>
      </c>
      <c r="AR70" s="35">
        <f>AR71+AR72+AR73+AR74</f>
        <v>339.236507723497</v>
      </c>
      <c r="AS70" s="36">
        <f t="shared" si="60"/>
        <v>0.139825792613584</v>
      </c>
      <c r="AT70" s="35">
        <f t="shared" si="70"/>
        <v>3979.06952555855</v>
      </c>
      <c r="AU70" s="36">
        <f t="shared" si="71"/>
        <v>0.00224929163080256</v>
      </c>
      <c r="AV70" s="37"/>
      <c r="AW70" s="38">
        <f>AW71+AW72+AW73+AW74</f>
        <v>283.253411361132</v>
      </c>
      <c r="AX70" s="37"/>
      <c r="AY70" s="38">
        <f>AY71+AY72+AY73+AY74</f>
        <v>268.503816065868</v>
      </c>
      <c r="AZ70" s="37"/>
      <c r="BA70" s="38">
        <f>BA71+BA72+BA73+BA74</f>
        <v>294.2595057389</v>
      </c>
      <c r="BB70" s="37"/>
      <c r="BC70" s="38">
        <f>BC71+BC72+BC73+BC74</f>
        <v>319.086223646497</v>
      </c>
      <c r="BD70" s="37"/>
      <c r="BE70" s="38">
        <f>BE71+BE72+BE73+BE74</f>
        <v>352.241278025418</v>
      </c>
      <c r="BF70" s="37"/>
      <c r="BG70" s="38">
        <f>BG71+BG72+BG73+BG74</f>
        <v>339.264568354047</v>
      </c>
      <c r="BH70" s="37"/>
      <c r="BI70" s="38">
        <f>BI71+BI72+BI73+BI74</f>
        <v>383.377164087306</v>
      </c>
      <c r="BJ70" s="37"/>
      <c r="BK70" s="38">
        <f>BK71+BK72+BK73+BK74</f>
        <v>392.586171196482</v>
      </c>
      <c r="BL70" s="37"/>
      <c r="BM70" s="38">
        <f>BM71+BM72+BM73+BM74</f>
        <v>340.742485509785</v>
      </c>
      <c r="BN70" s="37"/>
      <c r="BO70" s="38">
        <f>BO71+BO72+BO73+BO74</f>
        <v>361.644983361896</v>
      </c>
      <c r="BP70" s="37"/>
      <c r="BQ70" s="38">
        <f>BQ71+BQ72+BQ73+BQ74</f>
        <v>337.558552077439</v>
      </c>
      <c r="BR70" s="37"/>
      <c r="BS70" s="38">
        <f>BS71+BS72+BS73+BS74</f>
        <v>297.621364529433</v>
      </c>
      <c r="BT70" s="37"/>
      <c r="BU70" s="38">
        <f t="shared" si="72"/>
        <v>3970.1395239542</v>
      </c>
      <c r="BV70" s="37"/>
      <c r="BW70" s="39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</row>
    <row r="71" ht="27" customHeight="1" spans="1:88">
      <c r="A71" s="45"/>
      <c r="B71" s="34" t="s">
        <v>294</v>
      </c>
      <c r="C71" s="35">
        <f>班线包车!C48</f>
        <v>146.7156</v>
      </c>
      <c r="D71" s="36">
        <f t="shared" si="61"/>
        <v>-0.0724153518851612</v>
      </c>
      <c r="E71" s="35">
        <f>班线包车!E48</f>
        <v>164.4127</v>
      </c>
      <c r="F71" s="36">
        <f t="shared" si="62"/>
        <v>0.000593371763537354</v>
      </c>
      <c r="G71" s="35">
        <f>班线包车!G48</f>
        <v>162.0982</v>
      </c>
      <c r="H71" s="36">
        <f t="shared" si="63"/>
        <v>-0.0541729756538737</v>
      </c>
      <c r="I71" s="35">
        <f>班线包车!I48</f>
        <v>182.7013</v>
      </c>
      <c r="J71" s="36">
        <f t="shared" si="64"/>
        <v>-0.0815259330086774</v>
      </c>
      <c r="K71" s="35">
        <f>班线包车!K48</f>
        <v>190.2239</v>
      </c>
      <c r="L71" s="36">
        <f t="shared" si="65"/>
        <v>-0.102590037547784</v>
      </c>
      <c r="M71" s="35">
        <f>班线包车!M48</f>
        <v>170.9711</v>
      </c>
      <c r="N71" s="36">
        <f t="shared" si="66"/>
        <v>-0.0879979985906919</v>
      </c>
      <c r="O71" s="35">
        <f>班线包车!O48</f>
        <v>194.4005</v>
      </c>
      <c r="P71" s="36">
        <f t="shared" si="67"/>
        <v>-0.128949234987295</v>
      </c>
      <c r="Q71" s="127"/>
      <c r="R71" s="127"/>
      <c r="S71" s="131">
        <f t="shared" si="68"/>
        <v>1211.5233</v>
      </c>
      <c r="T71" s="132">
        <f t="shared" si="69"/>
        <v>-0.216864402178129</v>
      </c>
      <c r="U71" s="36"/>
      <c r="V71" s="35">
        <f>班线包车!V48</f>
        <v>158.1695</v>
      </c>
      <c r="W71" s="36">
        <f t="shared" si="49"/>
        <v>-0.00475569339809323</v>
      </c>
      <c r="X71" s="35">
        <f>班线包车!X48</f>
        <v>164.3152</v>
      </c>
      <c r="Y71" s="36">
        <f t="shared" si="50"/>
        <v>-0.0257601243686257</v>
      </c>
      <c r="Z71" s="35">
        <f>班线包车!Z48</f>
        <v>171.3825</v>
      </c>
      <c r="AA71" s="36">
        <f t="shared" si="51"/>
        <v>0.00788571737739474</v>
      </c>
      <c r="AB71" s="35">
        <f>班线包车!AB48</f>
        <v>198.9183</v>
      </c>
      <c r="AC71" s="36">
        <f t="shared" si="52"/>
        <v>-0.00473072162142429</v>
      </c>
      <c r="AD71" s="35">
        <f>班线包车!AD48</f>
        <v>211.9699</v>
      </c>
      <c r="AE71" s="36">
        <f t="shared" si="53"/>
        <v>-0.0410389556336104</v>
      </c>
      <c r="AF71" s="35">
        <f>班线包车!AF48</f>
        <v>187.4679</v>
      </c>
      <c r="AG71" s="36">
        <f t="shared" si="54"/>
        <v>-0.0988870430935531</v>
      </c>
      <c r="AH71" s="35">
        <f>班线包车!AH48</f>
        <v>223.1793</v>
      </c>
      <c r="AI71" s="36">
        <f t="shared" si="55"/>
        <v>-0.0486207558028007</v>
      </c>
      <c r="AJ71" s="35">
        <f>班线包车!AJ48</f>
        <v>231.6134</v>
      </c>
      <c r="AK71" s="36">
        <f t="shared" si="56"/>
        <v>-0.0647041126812889</v>
      </c>
      <c r="AL71" s="35">
        <f>班线包车!AL48</f>
        <v>182.6086</v>
      </c>
      <c r="AM71" s="36">
        <f t="shared" si="57"/>
        <v>-0.0708397869443365</v>
      </c>
      <c r="AN71" s="35">
        <f>班线包车!AN48</f>
        <v>185.0951</v>
      </c>
      <c r="AO71" s="36">
        <f t="shared" si="58"/>
        <v>-0.107557801747227</v>
      </c>
      <c r="AP71" s="35">
        <f>班线包车!AP48</f>
        <v>165.4614</v>
      </c>
      <c r="AQ71" s="36">
        <f t="shared" si="59"/>
        <v>-0.0574926874560321</v>
      </c>
      <c r="AR71" s="35">
        <f>班线包车!AR48</f>
        <v>150.5717</v>
      </c>
      <c r="AS71" s="36">
        <f t="shared" si="60"/>
        <v>-0.0365674110464934</v>
      </c>
      <c r="AT71" s="35">
        <f t="shared" si="70"/>
        <v>2230.7528</v>
      </c>
      <c r="AU71" s="36">
        <f t="shared" si="71"/>
        <v>-0.0485444529112947</v>
      </c>
      <c r="AV71" s="37"/>
      <c r="AW71" s="35">
        <v>158.9253</v>
      </c>
      <c r="AX71" s="36"/>
      <c r="AY71" s="35">
        <v>168.6599</v>
      </c>
      <c r="AZ71" s="36"/>
      <c r="BA71" s="35">
        <v>170.0416</v>
      </c>
      <c r="BB71" s="36"/>
      <c r="BC71" s="35">
        <v>199.8638</v>
      </c>
      <c r="BD71" s="36"/>
      <c r="BE71" s="35">
        <v>221.0412</v>
      </c>
      <c r="BF71" s="36"/>
      <c r="BG71" s="35">
        <v>208.0404</v>
      </c>
      <c r="BH71" s="36"/>
      <c r="BI71" s="35">
        <v>234.585</v>
      </c>
      <c r="BJ71" s="36"/>
      <c r="BK71" s="35">
        <v>247.6365</v>
      </c>
      <c r="BL71" s="36"/>
      <c r="BM71" s="35">
        <v>196.5308</v>
      </c>
      <c r="BN71" s="36"/>
      <c r="BO71" s="35">
        <v>207.4029</v>
      </c>
      <c r="BP71" s="36"/>
      <c r="BQ71" s="35">
        <v>175.5545</v>
      </c>
      <c r="BR71" s="36"/>
      <c r="BS71" s="35">
        <v>156.2867</v>
      </c>
      <c r="BT71" s="36"/>
      <c r="BU71" s="35">
        <f t="shared" si="72"/>
        <v>2344.5686</v>
      </c>
      <c r="BV71" s="36"/>
      <c r="BW71" s="40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7"/>
    </row>
    <row r="72" ht="27" customHeight="1" spans="1:88">
      <c r="A72" s="45"/>
      <c r="B72" s="34" t="s">
        <v>295</v>
      </c>
      <c r="C72" s="35">
        <f>公交!C57-公交!C59</f>
        <v>101.06</v>
      </c>
      <c r="D72" s="36">
        <f t="shared" si="61"/>
        <v>0.276010101010101</v>
      </c>
      <c r="E72" s="35">
        <f>公交!E57-公交!E59</f>
        <v>76.08</v>
      </c>
      <c r="F72" s="36">
        <f t="shared" si="62"/>
        <v>0.169741697416975</v>
      </c>
      <c r="G72" s="35">
        <f>公交!G57-公交!G59</f>
        <v>92.72</v>
      </c>
      <c r="H72" s="36">
        <f t="shared" si="63"/>
        <v>0.249595687331535</v>
      </c>
      <c r="I72" s="35">
        <f>公交!I57-公交!I59</f>
        <v>94.3099999999999</v>
      </c>
      <c r="J72" s="36">
        <f t="shared" si="64"/>
        <v>0.213146385387188</v>
      </c>
      <c r="K72" s="35">
        <f>公交!K57-公交!K59</f>
        <v>98.21</v>
      </c>
      <c r="L72" s="36">
        <f t="shared" si="65"/>
        <v>0.275123344585823</v>
      </c>
      <c r="M72" s="35">
        <f>公交!M57-公交!M59</f>
        <v>98.1199999999999</v>
      </c>
      <c r="N72" s="36">
        <f t="shared" si="66"/>
        <v>0.457732877729906</v>
      </c>
      <c r="O72" s="35">
        <f>公交!O57-公交!O59</f>
        <v>114.48</v>
      </c>
      <c r="P72" s="36">
        <f t="shared" si="67"/>
        <v>0.361074783022232</v>
      </c>
      <c r="Q72" s="127"/>
      <c r="R72" s="127"/>
      <c r="S72" s="131">
        <f t="shared" si="68"/>
        <v>674.98</v>
      </c>
      <c r="T72" s="132">
        <f t="shared" si="69"/>
        <v>0.108414345769837</v>
      </c>
      <c r="U72" s="36"/>
      <c r="V72" s="35">
        <f>公交!V57-公交!V59</f>
        <v>79.2</v>
      </c>
      <c r="W72" s="36">
        <f t="shared" si="49"/>
        <v>-0.112008072653886</v>
      </c>
      <c r="X72" s="35">
        <f>公交!X57-公交!X59</f>
        <v>65.04</v>
      </c>
      <c r="Y72" s="36">
        <f t="shared" si="50"/>
        <v>-0.110259917920657</v>
      </c>
      <c r="Z72" s="35">
        <f>公交!Z57-公交!Z59</f>
        <v>74.2</v>
      </c>
      <c r="AA72" s="36">
        <f t="shared" si="51"/>
        <v>-0.125824693685202</v>
      </c>
      <c r="AB72" s="35">
        <f>公交!AB57-公交!AB59</f>
        <v>77.74</v>
      </c>
      <c r="AC72" s="36">
        <f t="shared" si="52"/>
        <v>-0.061677730838866</v>
      </c>
      <c r="AD72" s="35">
        <f>公交!AD57-公交!AD59</f>
        <v>77.02</v>
      </c>
      <c r="AE72" s="36">
        <f t="shared" si="53"/>
        <v>-0.0619900133966632</v>
      </c>
      <c r="AF72" s="35">
        <f>公交!AF57-公交!AF59</f>
        <v>67.31</v>
      </c>
      <c r="AG72" s="36">
        <f t="shared" si="54"/>
        <v>-0.190109493442426</v>
      </c>
      <c r="AH72" s="35">
        <f>公交!AH57-公交!AH59</f>
        <v>84.1100000000001</v>
      </c>
      <c r="AI72" s="36">
        <f t="shared" si="55"/>
        <v>-0.148166902977517</v>
      </c>
      <c r="AJ72" s="35">
        <f>公交!AJ57-公交!AJ59</f>
        <v>84.34</v>
      </c>
      <c r="AK72" s="36">
        <f t="shared" si="56"/>
        <v>-0.0838583532478805</v>
      </c>
      <c r="AL72" s="35">
        <f>公交!AL57-公交!AL59</f>
        <v>67.57</v>
      </c>
      <c r="AM72" s="36">
        <f t="shared" si="57"/>
        <v>-0.15389431505134</v>
      </c>
      <c r="AN72" s="35">
        <f>公交!AN57-公交!AN59</f>
        <v>62.04</v>
      </c>
      <c r="AO72" s="36">
        <f t="shared" si="58"/>
        <v>-0.176642335766424</v>
      </c>
      <c r="AP72" s="35">
        <f>公交!AP57-公交!AP59</f>
        <v>63.83</v>
      </c>
      <c r="AQ72" s="36">
        <f t="shared" si="59"/>
        <v>-0.190898719736341</v>
      </c>
      <c r="AR72" s="35">
        <f>公交!AR57-公交!AR59</f>
        <v>64.1</v>
      </c>
      <c r="AS72" s="36">
        <f t="shared" si="60"/>
        <v>-0.163622129436325</v>
      </c>
      <c r="AT72" s="35">
        <f t="shared" si="70"/>
        <v>866.5</v>
      </c>
      <c r="AU72" s="36">
        <f t="shared" si="71"/>
        <v>-0.130700856758763</v>
      </c>
      <c r="AV72" s="37"/>
      <c r="AW72" s="35">
        <v>89.1900000000001</v>
      </c>
      <c r="AX72" s="36"/>
      <c r="AY72" s="35">
        <v>73.1</v>
      </c>
      <c r="AZ72" s="36"/>
      <c r="BA72" s="35">
        <v>84.88</v>
      </c>
      <c r="BB72" s="36"/>
      <c r="BC72" s="35">
        <v>82.85</v>
      </c>
      <c r="BD72" s="36"/>
      <c r="BE72" s="35">
        <v>82.11</v>
      </c>
      <c r="BF72" s="36"/>
      <c r="BG72" s="35">
        <v>83.11</v>
      </c>
      <c r="BH72" s="36"/>
      <c r="BI72" s="35">
        <v>98.7400000000001</v>
      </c>
      <c r="BJ72" s="36"/>
      <c r="BK72" s="35">
        <v>92.0599999999999</v>
      </c>
      <c r="BL72" s="36"/>
      <c r="BM72" s="35">
        <v>79.86</v>
      </c>
      <c r="BN72" s="36"/>
      <c r="BO72" s="35">
        <v>75.35</v>
      </c>
      <c r="BP72" s="36"/>
      <c r="BQ72" s="35">
        <v>78.89</v>
      </c>
      <c r="BR72" s="36"/>
      <c r="BS72" s="35">
        <v>76.6399999999999</v>
      </c>
      <c r="BT72" s="36"/>
      <c r="BU72" s="35">
        <f t="shared" si="72"/>
        <v>996.78</v>
      </c>
      <c r="BV72" s="36"/>
      <c r="BW72" s="40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7"/>
    </row>
    <row r="73" ht="27" customHeight="1" spans="1:88">
      <c r="A73" s="45"/>
      <c r="B73" s="34" t="s">
        <v>296</v>
      </c>
      <c r="C73" s="35">
        <f>出租!C57-出租!C59</f>
        <v>63.17</v>
      </c>
      <c r="D73" s="36">
        <f t="shared" si="61"/>
        <v>0.363185153215363</v>
      </c>
      <c r="E73" s="35">
        <f>出租!E57-出租!E59</f>
        <v>71.99</v>
      </c>
      <c r="F73" s="36">
        <f t="shared" si="62"/>
        <v>0.491093620546811</v>
      </c>
      <c r="G73" s="35">
        <f>出租!G57-出租!G59</f>
        <v>57.3200000000001</v>
      </c>
      <c r="H73" s="36">
        <f t="shared" si="63"/>
        <v>0.63118952760387</v>
      </c>
      <c r="I73" s="35">
        <f>出租!I57-出租!I59</f>
        <v>52.64</v>
      </c>
      <c r="J73" s="36">
        <f t="shared" si="64"/>
        <v>0.177365242675015</v>
      </c>
      <c r="K73" s="35">
        <f>出租!K57-出租!K59</f>
        <v>50.6200000000001</v>
      </c>
      <c r="L73" s="36">
        <f t="shared" si="65"/>
        <v>0.0495542193655409</v>
      </c>
      <c r="M73" s="35">
        <f>出租!M57-出租!M59</f>
        <v>53.65</v>
      </c>
      <c r="N73" s="36">
        <f t="shared" si="66"/>
        <v>0.199955267278014</v>
      </c>
      <c r="O73" s="35">
        <f>出租!O57-出租!O59</f>
        <v>59.28</v>
      </c>
      <c r="P73" s="36">
        <f t="shared" si="67"/>
        <v>0.219502160049373</v>
      </c>
      <c r="Q73" s="127"/>
      <c r="R73" s="127"/>
      <c r="S73" s="131">
        <f t="shared" si="68"/>
        <v>408.67</v>
      </c>
      <c r="T73" s="132">
        <f t="shared" si="69"/>
        <v>0.119950671416827</v>
      </c>
      <c r="U73" s="36"/>
      <c r="V73" s="35">
        <f>出租!V57-出租!V59</f>
        <v>46.34</v>
      </c>
      <c r="W73" s="36">
        <f t="shared" si="49"/>
        <v>0.578337874659402</v>
      </c>
      <c r="X73" s="35">
        <f>出租!X57-出租!X59</f>
        <v>48.28</v>
      </c>
      <c r="Y73" s="36">
        <f t="shared" si="50"/>
        <v>1.12406511218654</v>
      </c>
      <c r="Z73" s="35">
        <f>出租!Z57-出租!Z59</f>
        <v>35.14</v>
      </c>
      <c r="AA73" s="36">
        <f t="shared" si="51"/>
        <v>0.0651712640194011</v>
      </c>
      <c r="AB73" s="35">
        <f>出租!AB57-出租!AB59</f>
        <v>44.71</v>
      </c>
      <c r="AC73" s="36">
        <f t="shared" si="52"/>
        <v>0.510983440351471</v>
      </c>
      <c r="AD73" s="35">
        <f>出租!AD57-出租!AD59</f>
        <v>48.23</v>
      </c>
      <c r="AE73" s="36">
        <f t="shared" si="53"/>
        <v>0.229416263063982</v>
      </c>
      <c r="AF73" s="35">
        <f>出租!AF57-出租!AF59</f>
        <v>44.71</v>
      </c>
      <c r="AG73" s="36">
        <f t="shared" si="54"/>
        <v>0.173490813648293</v>
      </c>
      <c r="AH73" s="35">
        <f>出租!AH57-出租!AH59</f>
        <v>48.61</v>
      </c>
      <c r="AI73" s="36">
        <f t="shared" si="55"/>
        <v>0.246410256410253</v>
      </c>
      <c r="AJ73" s="35">
        <f>出租!AJ57-出租!AJ59</f>
        <v>48.8799999999999</v>
      </c>
      <c r="AK73" s="36">
        <f t="shared" si="56"/>
        <v>0.132530120481926</v>
      </c>
      <c r="AL73" s="35">
        <f>出租!AL57-出租!AL59</f>
        <v>58.3799999999999</v>
      </c>
      <c r="AM73" s="36">
        <f t="shared" si="57"/>
        <v>0.134693877551019</v>
      </c>
      <c r="AN73" s="35">
        <f>出租!AN57-出租!AN59</f>
        <v>59.3899999999999</v>
      </c>
      <c r="AO73" s="36">
        <f t="shared" si="58"/>
        <v>-0.0653131885426514</v>
      </c>
      <c r="AP73" s="35">
        <f>出租!AP57-出租!AP59</f>
        <v>70.1000000000001</v>
      </c>
      <c r="AQ73" s="36">
        <f t="shared" si="59"/>
        <v>0.0677837014470688</v>
      </c>
      <c r="AR73" s="35">
        <f>出租!AR57-出租!AR59</f>
        <v>82.16</v>
      </c>
      <c r="AS73" s="36">
        <f t="shared" si="60"/>
        <v>0.667546174142481</v>
      </c>
      <c r="AT73" s="35">
        <f t="shared" si="70"/>
        <v>634.93</v>
      </c>
      <c r="AU73" s="36">
        <f t="shared" si="71"/>
        <v>0.259606800642768</v>
      </c>
      <c r="AV73" s="37"/>
      <c r="AW73" s="35">
        <v>29.36</v>
      </c>
      <c r="AX73" s="36"/>
      <c r="AY73" s="35">
        <v>22.73</v>
      </c>
      <c r="AZ73" s="36"/>
      <c r="BA73" s="35">
        <v>32.99</v>
      </c>
      <c r="BB73" s="36"/>
      <c r="BC73" s="35">
        <v>29.59</v>
      </c>
      <c r="BD73" s="36"/>
      <c r="BE73" s="35">
        <v>39.23</v>
      </c>
      <c r="BF73" s="36"/>
      <c r="BG73" s="35">
        <v>38.1</v>
      </c>
      <c r="BH73" s="36"/>
      <c r="BI73" s="35">
        <v>39.0000000000001</v>
      </c>
      <c r="BJ73" s="36"/>
      <c r="BK73" s="35">
        <v>43.16</v>
      </c>
      <c r="BL73" s="36"/>
      <c r="BM73" s="35">
        <v>51.45</v>
      </c>
      <c r="BN73" s="36"/>
      <c r="BO73" s="35">
        <v>63.54</v>
      </c>
      <c r="BP73" s="36"/>
      <c r="BQ73" s="35">
        <v>65.65</v>
      </c>
      <c r="BR73" s="36"/>
      <c r="BS73" s="35">
        <v>49.27</v>
      </c>
      <c r="BT73" s="36"/>
      <c r="BU73" s="35">
        <f t="shared" si="72"/>
        <v>504.07</v>
      </c>
      <c r="BV73" s="36"/>
      <c r="BW73" s="40"/>
      <c r="BX73" s="49"/>
      <c r="BY73" s="49"/>
      <c r="BZ73" s="49"/>
      <c r="CA73" s="49"/>
      <c r="CB73" s="49"/>
      <c r="CC73" s="49"/>
      <c r="CD73" s="50"/>
      <c r="CE73" s="49"/>
      <c r="CF73" s="50"/>
      <c r="CG73" s="50"/>
      <c r="CH73" s="50"/>
      <c r="CI73" s="50"/>
      <c r="CJ73" s="47"/>
    </row>
    <row r="74" ht="27" customHeight="1" spans="1:88">
      <c r="A74" s="29"/>
      <c r="B74" s="34" t="s">
        <v>297</v>
      </c>
      <c r="C74" s="35">
        <f>网约车!C57-网约车!C59</f>
        <v>34.796522157979</v>
      </c>
      <c r="D74" s="36">
        <f t="shared" si="61"/>
        <v>4.74090388737975</v>
      </c>
      <c r="E74" s="35">
        <f>网约车!E57-网约车!E59</f>
        <v>28.409628018903</v>
      </c>
      <c r="F74" s="36">
        <f t="shared" si="62"/>
        <v>2.58970849833347</v>
      </c>
      <c r="G74" s="35">
        <f>网约车!G57-网约车!G59</f>
        <v>37.262134656709</v>
      </c>
      <c r="H74" s="36">
        <f t="shared" si="63"/>
        <v>2.92883098737343</v>
      </c>
      <c r="I74" s="35">
        <f>网约车!I57-网约车!I59</f>
        <v>36.437549642901</v>
      </c>
      <c r="J74" s="36">
        <f t="shared" si="64"/>
        <v>1.93642258559994</v>
      </c>
      <c r="K74" s="35">
        <f>网约车!K57-网约车!K59</f>
        <v>38.892809808738</v>
      </c>
      <c r="L74" s="36">
        <f t="shared" si="65"/>
        <v>1.50814810190676</v>
      </c>
      <c r="M74" s="35">
        <f>网约车!M57-网约车!M59</f>
        <v>42.725607562812</v>
      </c>
      <c r="N74" s="36">
        <f t="shared" si="66"/>
        <v>1.51677641053006</v>
      </c>
      <c r="O74" s="35">
        <f>网约车!O57-网约车!O59</f>
        <v>54.275557885001</v>
      </c>
      <c r="P74" s="36">
        <f t="shared" si="67"/>
        <v>1.62168545641592</v>
      </c>
      <c r="Q74" s="127"/>
      <c r="R74" s="127"/>
      <c r="S74" s="131">
        <f t="shared" si="68"/>
        <v>272.799809733043</v>
      </c>
      <c r="T74" s="132">
        <f t="shared" si="69"/>
        <v>1.43471927179845</v>
      </c>
      <c r="U74" s="36"/>
      <c r="V74" s="35">
        <f>网约车!V57-网约车!V59</f>
        <v>6.0611574136387</v>
      </c>
      <c r="W74" s="36">
        <f t="shared" si="49"/>
        <v>0.0489859116269331</v>
      </c>
      <c r="X74" s="35">
        <f>网约车!X57-网约车!X59</f>
        <v>7.9141880272708</v>
      </c>
      <c r="Y74" s="36">
        <f t="shared" si="50"/>
        <v>0.971687473629324</v>
      </c>
      <c r="Z74" s="35">
        <f>网约车!Z57-网约车!Z59</f>
        <v>9.4842803817377</v>
      </c>
      <c r="AA74" s="36">
        <f t="shared" si="51"/>
        <v>0.494080216663838</v>
      </c>
      <c r="AB74" s="35">
        <f>网约车!AB57-网约车!AB59</f>
        <v>12.4088235193357</v>
      </c>
      <c r="AC74" s="36">
        <f t="shared" si="52"/>
        <v>0.829555947267334</v>
      </c>
      <c r="AD74" s="35">
        <f>网约车!AD57-网约车!AD59</f>
        <v>15.5065842320757</v>
      </c>
      <c r="AE74" s="36">
        <f t="shared" si="53"/>
        <v>0.572663440603849</v>
      </c>
      <c r="AF74" s="35">
        <f>网约车!AF57-网约车!AF59</f>
        <v>16.976322324085</v>
      </c>
      <c r="AG74" s="36">
        <f t="shared" si="54"/>
        <v>0.695230370001177</v>
      </c>
      <c r="AH74" s="35">
        <f>网约车!AH57-网约车!AH59</f>
        <v>20.702543759464</v>
      </c>
      <c r="AI74" s="36">
        <f t="shared" si="55"/>
        <v>0.873166521590315</v>
      </c>
      <c r="AJ74" s="35">
        <f>网约车!AJ57-网约车!AJ59</f>
        <v>22.99179402581</v>
      </c>
      <c r="AK74" s="36">
        <f t="shared" si="56"/>
        <v>1.36305971306859</v>
      </c>
      <c r="AL74" s="35">
        <f>网约车!AL57-网约车!AL59</f>
        <v>22.237240382741</v>
      </c>
      <c r="AM74" s="36">
        <f t="shared" si="57"/>
        <v>0.723591879981599</v>
      </c>
      <c r="AN74" s="35">
        <f>网约车!AN57-网约车!AN59</f>
        <v>32.99755502227</v>
      </c>
      <c r="AO74" s="36">
        <f t="shared" si="58"/>
        <v>1.1493861285414</v>
      </c>
      <c r="AP74" s="35">
        <f>网约车!AP57-网约车!AP59</f>
        <v>37.201428746624</v>
      </c>
      <c r="AQ74" s="36">
        <f t="shared" si="59"/>
        <v>1.13017165670753</v>
      </c>
      <c r="AR74" s="35">
        <f>网约车!AR57-网约车!AR59</f>
        <v>42.404807723497</v>
      </c>
      <c r="AS74" s="36">
        <f t="shared" si="60"/>
        <v>1.74915591470932</v>
      </c>
      <c r="AT74" s="35">
        <f t="shared" si="70"/>
        <v>246.88672555855</v>
      </c>
      <c r="AU74" s="36">
        <f t="shared" si="71"/>
        <v>0.979513282384036</v>
      </c>
      <c r="AV74" s="37"/>
      <c r="AW74" s="35">
        <v>5.77811136113172</v>
      </c>
      <c r="AX74" s="36"/>
      <c r="AY74" s="35">
        <v>4.01391606586768</v>
      </c>
      <c r="AZ74" s="36"/>
      <c r="BA74" s="35">
        <v>6.34790573890025</v>
      </c>
      <c r="BB74" s="36"/>
      <c r="BC74" s="35">
        <v>6.78242364649728</v>
      </c>
      <c r="BD74" s="36"/>
      <c r="BE74" s="35">
        <v>9.86007802541764</v>
      </c>
      <c r="BF74" s="36"/>
      <c r="BG74" s="35">
        <v>10.0141683540469</v>
      </c>
      <c r="BH74" s="36"/>
      <c r="BI74" s="35">
        <v>11.0521640873058</v>
      </c>
      <c r="BJ74" s="36"/>
      <c r="BK74" s="35">
        <v>9.72967119648177</v>
      </c>
      <c r="BL74" s="36"/>
      <c r="BM74" s="35">
        <v>12.9016855097846</v>
      </c>
      <c r="BN74" s="36"/>
      <c r="BO74" s="35">
        <v>15.3520833618958</v>
      </c>
      <c r="BP74" s="36"/>
      <c r="BQ74" s="35">
        <v>17.4640520774386</v>
      </c>
      <c r="BR74" s="36"/>
      <c r="BS74" s="35">
        <v>15.4246645294327</v>
      </c>
      <c r="BT74" s="36"/>
      <c r="BU74" s="35">
        <f t="shared" si="72"/>
        <v>124.720923954201</v>
      </c>
      <c r="BV74" s="36"/>
      <c r="BW74" s="40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7"/>
    </row>
    <row r="75" s="15" customFormat="1" ht="27" customHeight="1" spans="1:88">
      <c r="A75" s="48" t="s">
        <v>106</v>
      </c>
      <c r="B75" s="34" t="s">
        <v>293</v>
      </c>
      <c r="C75" s="35">
        <f>C76+C77+C78+C79</f>
        <v>51.4708183706736</v>
      </c>
      <c r="D75" s="36">
        <f t="shared" si="61"/>
        <v>0.265075820126404</v>
      </c>
      <c r="E75" s="35">
        <f>E76+E77+E78+E79</f>
        <v>51.6668477085797</v>
      </c>
      <c r="F75" s="36">
        <f t="shared" si="62"/>
        <v>0.177778811478571</v>
      </c>
      <c r="G75" s="35">
        <f>G76+G77+G78+G79</f>
        <v>50.3125245018356</v>
      </c>
      <c r="H75" s="36">
        <f t="shared" si="63"/>
        <v>0.093332447931721</v>
      </c>
      <c r="I75" s="35">
        <f>I76+I77+I78+I79</f>
        <v>49.4007236152003</v>
      </c>
      <c r="J75" s="36">
        <f t="shared" si="64"/>
        <v>0.125317712763264</v>
      </c>
      <c r="K75" s="35">
        <f>K76+K77+K78+K79</f>
        <v>50.294102949796</v>
      </c>
      <c r="L75" s="36">
        <f t="shared" si="65"/>
        <v>0.19854597548245</v>
      </c>
      <c r="M75" s="35">
        <f>M76+M77+M78+M79</f>
        <v>50.7143246742761</v>
      </c>
      <c r="N75" s="36">
        <f t="shared" si="66"/>
        <v>0.220043417350765</v>
      </c>
      <c r="O75" s="35">
        <f>O76+O77+O78+O79</f>
        <v>51.9445272935033</v>
      </c>
      <c r="P75" s="36">
        <f t="shared" si="67"/>
        <v>0.159254057664732</v>
      </c>
      <c r="Q75" s="127"/>
      <c r="R75" s="127"/>
      <c r="S75" s="131">
        <f t="shared" si="68"/>
        <v>355.803869113865</v>
      </c>
      <c r="T75" s="132">
        <f t="shared" si="69"/>
        <v>0.0251151994984395</v>
      </c>
      <c r="U75" s="36"/>
      <c r="V75" s="35">
        <f>V76+V77+V78+V79</f>
        <v>40.6859553805485</v>
      </c>
      <c r="W75" s="36">
        <f t="shared" si="49"/>
        <v>-0.304707229690062</v>
      </c>
      <c r="X75" s="35">
        <f>X76+X77+X78+X79</f>
        <v>43.86803974145</v>
      </c>
      <c r="Y75" s="36">
        <f t="shared" si="50"/>
        <v>-0.198750264856305</v>
      </c>
      <c r="Z75" s="35">
        <f>Z76+Z77+Z78+Z79</f>
        <v>46.0175901639184</v>
      </c>
      <c r="AA75" s="36">
        <f t="shared" si="51"/>
        <v>-0.184495762121896</v>
      </c>
      <c r="AB75" s="35">
        <f>AB76+AB77+AB78+AB79</f>
        <v>43.8993566482614</v>
      </c>
      <c r="AC75" s="36">
        <f t="shared" si="52"/>
        <v>-0.227039836258797</v>
      </c>
      <c r="AD75" s="35">
        <f>AD76+AD77+AD78+AD79</f>
        <v>41.9625979967528</v>
      </c>
      <c r="AE75" s="36">
        <f t="shared" si="53"/>
        <v>-0.251095665706996</v>
      </c>
      <c r="AF75" s="35">
        <f>AF76+AF77+AF78+AF79</f>
        <v>41.5676392766403</v>
      </c>
      <c r="AG75" s="36">
        <f t="shared" si="54"/>
        <v>-0.361843028717072</v>
      </c>
      <c r="AH75" s="35">
        <f>AH76+AH77+AH78+AH79</f>
        <v>44.8085792325311</v>
      </c>
      <c r="AI75" s="36">
        <f t="shared" si="55"/>
        <v>0.00825437196983758</v>
      </c>
      <c r="AJ75" s="35">
        <f>AJ76+AJ77+AJ78+AJ79</f>
        <v>44.2769585337065</v>
      </c>
      <c r="AK75" s="36">
        <f t="shared" si="56"/>
        <v>-0.234683329873955</v>
      </c>
      <c r="AL75" s="35">
        <f>AL76+AL77+AL78+AL79</f>
        <v>44.7472685118526</v>
      </c>
      <c r="AM75" s="36">
        <f t="shared" si="57"/>
        <v>-0.0223732642196158</v>
      </c>
      <c r="AN75" s="35">
        <f>AN76+AN77+AN78+AN79</f>
        <v>44.6387565443553</v>
      </c>
      <c r="AO75" s="36">
        <f t="shared" si="58"/>
        <v>-0.208557854172149</v>
      </c>
      <c r="AP75" s="35">
        <f>AP76+AP77+AP78+AP79</f>
        <v>45.037160412503</v>
      </c>
      <c r="AQ75" s="36">
        <f t="shared" si="59"/>
        <v>-0.0485606070883629</v>
      </c>
      <c r="AR75" s="35">
        <f>AR76+AR77+AR78+AR79</f>
        <v>47.9276361993907</v>
      </c>
      <c r="AS75" s="36">
        <f t="shared" si="60"/>
        <v>0.00297846163618454</v>
      </c>
      <c r="AT75" s="35">
        <f t="shared" si="70"/>
        <v>529.437538641911</v>
      </c>
      <c r="AU75" s="36">
        <f t="shared" si="71"/>
        <v>-0.182016777311432</v>
      </c>
      <c r="AV75" s="37"/>
      <c r="AW75" s="38">
        <f>AW76+AW77+AW78+AW79</f>
        <v>58.5162928738811</v>
      </c>
      <c r="AX75" s="37"/>
      <c r="AY75" s="38">
        <f>AY76+AY77+AY78+AY79</f>
        <v>54.7495216751401</v>
      </c>
      <c r="AZ75" s="37"/>
      <c r="BA75" s="38">
        <f>BA76+BA77+BA78+BA79</f>
        <v>56.4283887520359</v>
      </c>
      <c r="BB75" s="37"/>
      <c r="BC75" s="38">
        <f>BC76+BC77+BC78+BC79</f>
        <v>56.7938151376188</v>
      </c>
      <c r="BD75" s="37"/>
      <c r="BE75" s="38">
        <f>BE76+BE77+BE78+BE79</f>
        <v>56.0319870980146</v>
      </c>
      <c r="BF75" s="37"/>
      <c r="BG75" s="38">
        <f>BG76+BG77+BG78+BG79</f>
        <v>65.1370135361433</v>
      </c>
      <c r="BH75" s="37"/>
      <c r="BI75" s="38">
        <f>BI76+BI77+BI78+BI79</f>
        <v>44.4417405748394</v>
      </c>
      <c r="BJ75" s="37"/>
      <c r="BK75" s="38">
        <f>BK76+BK77+BK78+BK79</f>
        <v>57.8544284504011</v>
      </c>
      <c r="BL75" s="37"/>
      <c r="BM75" s="38">
        <f>BM76+BM77+BM78+BM79</f>
        <v>45.7713224016254</v>
      </c>
      <c r="BN75" s="37"/>
      <c r="BO75" s="38">
        <f>BO76+BO77+BO78+BO79</f>
        <v>56.4017935861415</v>
      </c>
      <c r="BP75" s="37"/>
      <c r="BQ75" s="38">
        <f>BQ76+BQ77+BQ78+BQ79</f>
        <v>47.3358163935995</v>
      </c>
      <c r="BR75" s="37"/>
      <c r="BS75" s="38">
        <f>BS76+BS77+BS78+BS79</f>
        <v>47.7853094883066</v>
      </c>
      <c r="BT75" s="37"/>
      <c r="BU75" s="38">
        <f t="shared" si="72"/>
        <v>647.247429967747</v>
      </c>
      <c r="BV75" s="37"/>
      <c r="BW75" s="39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</row>
    <row r="76" ht="27" customHeight="1" spans="1:88">
      <c r="A76" s="45"/>
      <c r="B76" s="34" t="s">
        <v>294</v>
      </c>
      <c r="C76" s="35">
        <f>班线包车!C50</f>
        <v>9.2372</v>
      </c>
      <c r="D76" s="36">
        <f t="shared" si="61"/>
        <v>0.268131958649662</v>
      </c>
      <c r="E76" s="35">
        <f>班线包车!E50</f>
        <v>9.1901</v>
      </c>
      <c r="F76" s="36">
        <f t="shared" si="62"/>
        <v>0.273872725004505</v>
      </c>
      <c r="G76" s="35">
        <f>班线包车!G50</f>
        <v>9.1723</v>
      </c>
      <c r="H76" s="36">
        <f t="shared" si="63"/>
        <v>0.321333390956106</v>
      </c>
      <c r="I76" s="35">
        <f>班线包车!I50</f>
        <v>9.1413</v>
      </c>
      <c r="J76" s="36">
        <f t="shared" si="64"/>
        <v>0.34436813388826</v>
      </c>
      <c r="K76" s="35">
        <f>班线包车!K50</f>
        <v>9.3403</v>
      </c>
      <c r="L76" s="36">
        <f t="shared" si="65"/>
        <v>0.345864553314121</v>
      </c>
      <c r="M76" s="35">
        <f>班线包车!M50</f>
        <v>9.9419</v>
      </c>
      <c r="N76" s="36">
        <f t="shared" si="66"/>
        <v>0.00159176312952725</v>
      </c>
      <c r="O76" s="35">
        <f>班线包车!O50</f>
        <v>9.9314</v>
      </c>
      <c r="P76" s="36">
        <f t="shared" si="67"/>
        <v>-0.0148495699874021</v>
      </c>
      <c r="Q76" s="127"/>
      <c r="R76" s="127"/>
      <c r="S76" s="131">
        <f t="shared" si="68"/>
        <v>65.9545</v>
      </c>
      <c r="T76" s="132">
        <f t="shared" si="69"/>
        <v>0.011424715723936</v>
      </c>
      <c r="U76" s="36"/>
      <c r="V76" s="35">
        <f>班线包车!V50</f>
        <v>7.2841</v>
      </c>
      <c r="W76" s="36">
        <f t="shared" si="49"/>
        <v>-0.196609571288341</v>
      </c>
      <c r="X76" s="35">
        <f>班线包车!X50</f>
        <v>7.2143</v>
      </c>
      <c r="Y76" s="36">
        <f t="shared" si="50"/>
        <v>-0.132792402933045</v>
      </c>
      <c r="Z76" s="35">
        <f>班线包车!Z50</f>
        <v>6.9417</v>
      </c>
      <c r="AA76" s="36">
        <f t="shared" si="51"/>
        <v>-0.12824473495837</v>
      </c>
      <c r="AB76" s="35">
        <f>班线包车!AB50</f>
        <v>6.7997</v>
      </c>
      <c r="AC76" s="36">
        <f t="shared" si="52"/>
        <v>-0.142599551105843</v>
      </c>
      <c r="AD76" s="35">
        <f>班线包车!AD50</f>
        <v>6.94</v>
      </c>
      <c r="AE76" s="36">
        <f t="shared" si="53"/>
        <v>-0.131805444355484</v>
      </c>
      <c r="AF76" s="35">
        <f>班线包车!AF50</f>
        <v>9.9261</v>
      </c>
      <c r="AG76" s="36">
        <f t="shared" si="54"/>
        <v>0.219167987029736</v>
      </c>
      <c r="AH76" s="35">
        <f>班线包车!AH50</f>
        <v>10.0811</v>
      </c>
      <c r="AI76" s="36">
        <f t="shared" si="55"/>
        <v>0.279847146049157</v>
      </c>
      <c r="AJ76" s="35">
        <f>班线包车!AJ50</f>
        <v>10.0225</v>
      </c>
      <c r="AK76" s="36">
        <f t="shared" si="56"/>
        <v>0.295850949665775</v>
      </c>
      <c r="AL76" s="35">
        <f>班线包车!AL50</f>
        <v>10.8021</v>
      </c>
      <c r="AM76" s="36">
        <f t="shared" si="57"/>
        <v>0.40115962331699</v>
      </c>
      <c r="AN76" s="35">
        <f>班线包车!AN50</f>
        <v>9.6101</v>
      </c>
      <c r="AO76" s="36">
        <f t="shared" si="58"/>
        <v>0.197385962944965</v>
      </c>
      <c r="AP76" s="35">
        <f>班线包车!AP50</f>
        <v>9.3551</v>
      </c>
      <c r="AQ76" s="36">
        <f t="shared" si="59"/>
        <v>0.151226895720017</v>
      </c>
      <c r="AR76" s="35">
        <f>班线包车!AR50</f>
        <v>9.2859</v>
      </c>
      <c r="AS76" s="36">
        <f t="shared" si="60"/>
        <v>0.12923192917599</v>
      </c>
      <c r="AT76" s="35">
        <f t="shared" si="70"/>
        <v>104.2627</v>
      </c>
      <c r="AU76" s="36">
        <f t="shared" si="71"/>
        <v>0.0736523314210744</v>
      </c>
      <c r="AV76" s="37"/>
      <c r="AW76" s="35">
        <v>9.0667</v>
      </c>
      <c r="AX76" s="36"/>
      <c r="AY76" s="35">
        <v>8.319</v>
      </c>
      <c r="AZ76" s="36"/>
      <c r="BA76" s="35">
        <v>7.9629</v>
      </c>
      <c r="BB76" s="36"/>
      <c r="BC76" s="35">
        <v>7.9306</v>
      </c>
      <c r="BD76" s="36"/>
      <c r="BE76" s="35">
        <v>7.9936</v>
      </c>
      <c r="BF76" s="36"/>
      <c r="BG76" s="35">
        <v>8.1417</v>
      </c>
      <c r="BH76" s="36"/>
      <c r="BI76" s="35">
        <v>7.8768</v>
      </c>
      <c r="BJ76" s="36"/>
      <c r="BK76" s="35">
        <v>7.7343</v>
      </c>
      <c r="BL76" s="36"/>
      <c r="BM76" s="35">
        <v>7.7094</v>
      </c>
      <c r="BN76" s="36"/>
      <c r="BO76" s="35">
        <v>8.0259</v>
      </c>
      <c r="BP76" s="36"/>
      <c r="BQ76" s="35">
        <v>8.1262</v>
      </c>
      <c r="BR76" s="36"/>
      <c r="BS76" s="35">
        <v>8.2232</v>
      </c>
      <c r="BT76" s="36"/>
      <c r="BU76" s="35">
        <f t="shared" si="72"/>
        <v>97.1103</v>
      </c>
      <c r="BV76" s="36"/>
      <c r="BW76" s="40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7"/>
    </row>
    <row r="77" ht="26.7" customHeight="1" spans="1:88">
      <c r="A77" s="45"/>
      <c r="B77" s="34" t="s">
        <v>295</v>
      </c>
      <c r="C77" s="35">
        <f>公交!C61-公交!C63</f>
        <v>23.5</v>
      </c>
      <c r="D77" s="36">
        <f t="shared" si="61"/>
        <v>-0.109848484848485</v>
      </c>
      <c r="E77" s="35">
        <f>公交!E61-公交!E63</f>
        <v>24.13</v>
      </c>
      <c r="F77" s="36">
        <f t="shared" si="62"/>
        <v>-0.102973977695168</v>
      </c>
      <c r="G77" s="35">
        <f>公交!G61-公交!G63</f>
        <v>23.4</v>
      </c>
      <c r="H77" s="36">
        <f t="shared" si="63"/>
        <v>-0.178947368421053</v>
      </c>
      <c r="I77" s="35">
        <f>公交!I61-公交!I63</f>
        <v>23.5</v>
      </c>
      <c r="J77" s="36">
        <f t="shared" si="64"/>
        <v>-0.200680272108844</v>
      </c>
      <c r="K77" s="35">
        <f>公交!K61-公交!K63</f>
        <v>23.36</v>
      </c>
      <c r="L77" s="36">
        <f t="shared" si="65"/>
        <v>-0.128358208955224</v>
      </c>
      <c r="M77" s="35">
        <f>公交!M61-公交!M63</f>
        <v>23.01</v>
      </c>
      <c r="N77" s="36">
        <f t="shared" si="66"/>
        <v>-0.0124463519313301</v>
      </c>
      <c r="O77" s="35">
        <f>公交!O61-公交!O63</f>
        <v>23.39</v>
      </c>
      <c r="P77" s="36">
        <f t="shared" si="67"/>
        <v>-0.0805817610062887</v>
      </c>
      <c r="Q77" s="127"/>
      <c r="R77" s="127"/>
      <c r="S77" s="131">
        <f t="shared" si="68"/>
        <v>164.29</v>
      </c>
      <c r="T77" s="132">
        <f t="shared" si="69"/>
        <v>-0.223582230623818</v>
      </c>
      <c r="U77" s="36"/>
      <c r="V77" s="35">
        <f>公交!V61-公交!V63</f>
        <v>26.4</v>
      </c>
      <c r="W77" s="36">
        <f t="shared" si="49"/>
        <v>-0.105084745762712</v>
      </c>
      <c r="X77" s="35">
        <f>公交!X61-公交!X63</f>
        <v>26.9</v>
      </c>
      <c r="Y77" s="36">
        <f t="shared" si="50"/>
        <v>-0.179878048780488</v>
      </c>
      <c r="Z77" s="35">
        <f>公交!Z61-公交!Z63</f>
        <v>28.5</v>
      </c>
      <c r="AA77" s="36">
        <f t="shared" si="51"/>
        <v>-0.173913043478261</v>
      </c>
      <c r="AB77" s="35">
        <f>公交!AB61-公交!AB63</f>
        <v>29.4</v>
      </c>
      <c r="AC77" s="36">
        <f t="shared" si="52"/>
        <v>-0.15028901734104</v>
      </c>
      <c r="AD77" s="35">
        <f>公交!AD61-公交!AD63</f>
        <v>26.8</v>
      </c>
      <c r="AE77" s="36">
        <f t="shared" si="53"/>
        <v>-0.197604790419162</v>
      </c>
      <c r="AF77" s="35">
        <f>公交!AF61-公交!AF63</f>
        <v>23.3</v>
      </c>
      <c r="AG77" s="36">
        <f t="shared" si="54"/>
        <v>-0.332378223495702</v>
      </c>
      <c r="AH77" s="35">
        <f>公交!AH61-公交!AH63</f>
        <v>25.44</v>
      </c>
      <c r="AI77" s="36">
        <f t="shared" si="55"/>
        <v>0.205687203791469</v>
      </c>
      <c r="AJ77" s="35">
        <f>公交!AJ61-公交!AJ63</f>
        <v>24.86</v>
      </c>
      <c r="AK77" s="36">
        <f t="shared" si="56"/>
        <v>-0.136805555555556</v>
      </c>
      <c r="AL77" s="35">
        <f>公交!AL61-公交!AL63</f>
        <v>24.4</v>
      </c>
      <c r="AM77" s="36">
        <f t="shared" si="57"/>
        <v>0.00826446280991711</v>
      </c>
      <c r="AN77" s="35">
        <f>公交!AN61-公交!AN63</f>
        <v>24.95</v>
      </c>
      <c r="AO77" s="36">
        <f t="shared" si="58"/>
        <v>-0.222741433021807</v>
      </c>
      <c r="AP77" s="35">
        <f>公交!AP61-公交!AP63</f>
        <v>23.5</v>
      </c>
      <c r="AQ77" s="36">
        <f t="shared" si="59"/>
        <v>-0.085603112840467</v>
      </c>
      <c r="AR77" s="35">
        <f>公交!AR61-公交!AR63</f>
        <v>21.6</v>
      </c>
      <c r="AS77" s="36">
        <f t="shared" si="60"/>
        <v>-0.129032258064516</v>
      </c>
      <c r="AT77" s="35">
        <f t="shared" si="70"/>
        <v>306.05</v>
      </c>
      <c r="AU77" s="36">
        <f t="shared" si="71"/>
        <v>-0.141273849607183</v>
      </c>
      <c r="AV77" s="37"/>
      <c r="AW77" s="35">
        <v>29.5</v>
      </c>
      <c r="AX77" s="36"/>
      <c r="AY77" s="35">
        <v>32.8</v>
      </c>
      <c r="AZ77" s="36"/>
      <c r="BA77" s="35">
        <v>34.5</v>
      </c>
      <c r="BB77" s="36"/>
      <c r="BC77" s="35">
        <v>34.6</v>
      </c>
      <c r="BD77" s="36"/>
      <c r="BE77" s="35">
        <v>33.4</v>
      </c>
      <c r="BF77" s="36"/>
      <c r="BG77" s="35">
        <v>34.9</v>
      </c>
      <c r="BH77" s="36"/>
      <c r="BI77" s="35">
        <v>21.1</v>
      </c>
      <c r="BJ77" s="36"/>
      <c r="BK77" s="35">
        <v>28.8</v>
      </c>
      <c r="BL77" s="36"/>
      <c r="BM77" s="35">
        <v>24.2</v>
      </c>
      <c r="BN77" s="36"/>
      <c r="BO77" s="35">
        <v>32.1</v>
      </c>
      <c r="BP77" s="36"/>
      <c r="BQ77" s="35">
        <v>25.7</v>
      </c>
      <c r="BR77" s="36"/>
      <c r="BS77" s="35">
        <v>24.8</v>
      </c>
      <c r="BT77" s="36"/>
      <c r="BU77" s="35">
        <f t="shared" si="72"/>
        <v>356.4</v>
      </c>
      <c r="BV77" s="36"/>
      <c r="BW77" s="40"/>
      <c r="BX77" s="49"/>
      <c r="BY77" s="49"/>
      <c r="BZ77" s="49"/>
      <c r="CA77" s="49"/>
      <c r="CB77" s="49"/>
      <c r="CC77" s="49"/>
      <c r="CD77" s="50"/>
      <c r="CE77" s="49"/>
      <c r="CF77" s="50"/>
      <c r="CG77" s="50"/>
      <c r="CH77" s="50"/>
      <c r="CI77" s="50"/>
      <c r="CJ77" s="47"/>
    </row>
    <row r="78" ht="26.7" customHeight="1" spans="1:88">
      <c r="A78" s="45"/>
      <c r="B78" s="34" t="s">
        <v>296</v>
      </c>
      <c r="C78" s="35">
        <f>出租!C61-出租!C63</f>
        <v>6.97</v>
      </c>
      <c r="D78" s="36">
        <f t="shared" si="61"/>
        <v>0.161666666666666</v>
      </c>
      <c r="E78" s="35">
        <f>出租!E61-出租!E63</f>
        <v>7.3</v>
      </c>
      <c r="F78" s="36">
        <f t="shared" si="62"/>
        <v>-0.0875000000000004</v>
      </c>
      <c r="G78" s="35">
        <f>出租!G61-出租!G63</f>
        <v>7.15000000000001</v>
      </c>
      <c r="H78" s="36">
        <f t="shared" si="63"/>
        <v>-0.106249999999999</v>
      </c>
      <c r="I78" s="35">
        <f>出租!I61-出租!I63</f>
        <v>6.62</v>
      </c>
      <c r="J78" s="36">
        <f t="shared" si="64"/>
        <v>0.103333333333333</v>
      </c>
      <c r="K78" s="35">
        <f>出租!K61-出租!K63</f>
        <v>6.4</v>
      </c>
      <c r="L78" s="36">
        <f t="shared" si="65"/>
        <v>0.0666666666666664</v>
      </c>
      <c r="M78" s="35">
        <f>出租!M61-出租!M63</f>
        <v>6.48</v>
      </c>
      <c r="N78" s="36">
        <f t="shared" si="66"/>
        <v>0.0800000000000007</v>
      </c>
      <c r="O78" s="35">
        <f>出租!O61-出租!O63</f>
        <v>6.68000000000001</v>
      </c>
      <c r="P78" s="36">
        <f t="shared" si="67"/>
        <v>0.0774193548387103</v>
      </c>
      <c r="Q78" s="127"/>
      <c r="R78" s="127"/>
      <c r="S78" s="131">
        <f t="shared" si="68"/>
        <v>47.6</v>
      </c>
      <c r="T78" s="132">
        <f t="shared" si="69"/>
        <v>-0.0950570342205321</v>
      </c>
      <c r="U78" s="36"/>
      <c r="V78" s="35">
        <f>出租!V61-出租!V63</f>
        <v>6</v>
      </c>
      <c r="W78" s="36">
        <f t="shared" si="49"/>
        <v>-0.428571428571429</v>
      </c>
      <c r="X78" s="35">
        <f>出租!X61-出租!X63</f>
        <v>8</v>
      </c>
      <c r="Y78" s="36">
        <f t="shared" si="50"/>
        <v>-0.0697674418604641</v>
      </c>
      <c r="Z78" s="35">
        <f>出租!Z61-出租!Z63</f>
        <v>8</v>
      </c>
      <c r="AA78" s="36">
        <f t="shared" si="51"/>
        <v>0.118881118881117</v>
      </c>
      <c r="AB78" s="35">
        <f>出租!AB61-出租!AB63</f>
        <v>6</v>
      </c>
      <c r="AC78" s="36">
        <f t="shared" si="52"/>
        <v>-0.100449775112444</v>
      </c>
      <c r="AD78" s="35">
        <f>出租!AD61-出租!AD63</f>
        <v>6</v>
      </c>
      <c r="AE78" s="36">
        <f t="shared" si="53"/>
        <v>-0.0639625585023401</v>
      </c>
      <c r="AF78" s="35">
        <f>出租!AF61-出租!AF63</f>
        <v>6</v>
      </c>
      <c r="AG78" s="36">
        <f t="shared" si="54"/>
        <v>-0.0990990990990991</v>
      </c>
      <c r="AH78" s="35">
        <f>出租!AH61-出租!AH63</f>
        <v>6.2</v>
      </c>
      <c r="AI78" s="36">
        <f t="shared" si="55"/>
        <v>-0.0662650602409649</v>
      </c>
      <c r="AJ78" s="35">
        <f>出租!AJ61-出租!AJ63</f>
        <v>6.4</v>
      </c>
      <c r="AK78" s="36">
        <f t="shared" si="56"/>
        <v>-0.0711175616835996</v>
      </c>
      <c r="AL78" s="35">
        <f>出租!AL61-出租!AL63</f>
        <v>6.59999999999999</v>
      </c>
      <c r="AM78" s="36">
        <f t="shared" si="57"/>
        <v>0.0264385692068403</v>
      </c>
      <c r="AN78" s="35">
        <f>出租!AN61-出租!AN63</f>
        <v>6.5</v>
      </c>
      <c r="AO78" s="36">
        <f t="shared" si="58"/>
        <v>-0.161290322580645</v>
      </c>
      <c r="AP78" s="35">
        <f>出租!AP61-出租!AP63</f>
        <v>6.40000000000001</v>
      </c>
      <c r="AQ78" s="36">
        <f t="shared" si="59"/>
        <v>0.0666666666666675</v>
      </c>
      <c r="AR78" s="35">
        <f>出租!AR61-出租!AR63</f>
        <v>6.3</v>
      </c>
      <c r="AS78" s="36">
        <f t="shared" si="60"/>
        <v>0.0500000000000007</v>
      </c>
      <c r="AT78" s="35">
        <f t="shared" si="70"/>
        <v>78.4</v>
      </c>
      <c r="AU78" s="36">
        <f t="shared" si="71"/>
        <v>-0.0851808634772463</v>
      </c>
      <c r="AV78" s="37"/>
      <c r="AW78" s="35">
        <v>10.5</v>
      </c>
      <c r="AX78" s="36"/>
      <c r="AY78" s="35">
        <v>8.59999999999999</v>
      </c>
      <c r="AZ78" s="36"/>
      <c r="BA78" s="35">
        <v>7.15000000000001</v>
      </c>
      <c r="BB78" s="36"/>
      <c r="BC78" s="35">
        <v>6.67</v>
      </c>
      <c r="BD78" s="36"/>
      <c r="BE78" s="35">
        <v>6.41</v>
      </c>
      <c r="BF78" s="36"/>
      <c r="BG78" s="35">
        <v>6.66</v>
      </c>
      <c r="BH78" s="36"/>
      <c r="BI78" s="35">
        <v>6.64000000000001</v>
      </c>
      <c r="BJ78" s="36"/>
      <c r="BK78" s="35">
        <v>6.89</v>
      </c>
      <c r="BL78" s="36"/>
      <c r="BM78" s="35">
        <v>6.43000000000001</v>
      </c>
      <c r="BN78" s="36"/>
      <c r="BO78" s="35">
        <v>7.75</v>
      </c>
      <c r="BP78" s="36"/>
      <c r="BQ78" s="35">
        <v>6</v>
      </c>
      <c r="BR78" s="36"/>
      <c r="BS78" s="35">
        <v>6</v>
      </c>
      <c r="BT78" s="36"/>
      <c r="BU78" s="35">
        <f t="shared" si="72"/>
        <v>85.7</v>
      </c>
      <c r="BV78" s="36"/>
      <c r="BW78" s="40"/>
      <c r="BX78" s="49"/>
      <c r="BY78" s="49"/>
      <c r="BZ78" s="49"/>
      <c r="CA78" s="49"/>
      <c r="CB78" s="49"/>
      <c r="CC78" s="49"/>
      <c r="CD78" s="50"/>
      <c r="CE78" s="49"/>
      <c r="CF78" s="50"/>
      <c r="CG78" s="50"/>
      <c r="CH78" s="50"/>
      <c r="CI78" s="50"/>
      <c r="CJ78" s="47"/>
    </row>
    <row r="79" ht="27" customHeight="1" spans="1:88">
      <c r="A79" s="29"/>
      <c r="B79" s="34" t="s">
        <v>297</v>
      </c>
      <c r="C79" s="35">
        <f>网约车!C61-网约车!C63</f>
        <v>11.7636183706736</v>
      </c>
      <c r="D79" s="36">
        <f t="shared" si="61"/>
        <v>10.7418328024887</v>
      </c>
      <c r="E79" s="35">
        <f>网约车!E61-网约车!E63</f>
        <v>11.0467477085797</v>
      </c>
      <c r="F79" s="36">
        <f t="shared" si="62"/>
        <v>5.29896640162023</v>
      </c>
      <c r="G79" s="35">
        <f>网约车!G61-网约车!G63</f>
        <v>10.5902245018356</v>
      </c>
      <c r="H79" s="36">
        <f t="shared" si="63"/>
        <v>3.11128729406922</v>
      </c>
      <c r="I79" s="35">
        <f>网约车!I61-网约车!I63</f>
        <v>10.1394236152003</v>
      </c>
      <c r="J79" s="36">
        <f t="shared" si="64"/>
        <v>4.96557170859901</v>
      </c>
      <c r="K79" s="35">
        <f>网约车!K61-网约车!K63</f>
        <v>11.193802949796</v>
      </c>
      <c r="L79" s="36">
        <f t="shared" si="65"/>
        <v>4.03635968634457</v>
      </c>
      <c r="M79" s="35">
        <f>网约车!M61-网约车!M63</f>
        <v>11.2824246742761</v>
      </c>
      <c r="N79" s="36">
        <f t="shared" si="66"/>
        <v>3.81837942537714</v>
      </c>
      <c r="O79" s="35">
        <f>网约车!O61-网约车!O63</f>
        <v>11.9431272935033</v>
      </c>
      <c r="P79" s="36">
        <f t="shared" si="67"/>
        <v>2.86824538531791</v>
      </c>
      <c r="Q79" s="127"/>
      <c r="R79" s="127"/>
      <c r="S79" s="131">
        <f t="shared" si="68"/>
        <v>77.9593691138646</v>
      </c>
      <c r="T79" s="132">
        <f t="shared" si="69"/>
        <v>3.410160786586</v>
      </c>
      <c r="U79" s="36"/>
      <c r="V79" s="35">
        <f>网约车!V61-网约车!V63</f>
        <v>1.00185538054845</v>
      </c>
      <c r="W79" s="36">
        <f t="shared" ref="W79:W94" si="73">V79/AW79-1</f>
        <v>-0.893978990003093</v>
      </c>
      <c r="X79" s="35">
        <f>网约车!X61-网约车!X63</f>
        <v>1.75373974145</v>
      </c>
      <c r="Y79" s="36">
        <f t="shared" ref="Y79:Y94" si="74">X79/AY79-1</f>
        <v>-0.651380144107789</v>
      </c>
      <c r="Z79" s="35">
        <f>网约车!Z61-网约车!Z63</f>
        <v>2.5758901639184</v>
      </c>
      <c r="AA79" s="36">
        <f t="shared" ref="AA79:AA94" si="75">Z79/BA79-1</f>
        <v>-0.62205349350053</v>
      </c>
      <c r="AB79" s="35">
        <f>网约车!AB61-网约车!AB63</f>
        <v>1.69965664826138</v>
      </c>
      <c r="AC79" s="36">
        <f t="shared" ref="AC79:AC94" si="76">AB79/BC79-1</f>
        <v>-0.776161136296423</v>
      </c>
      <c r="AD79" s="35">
        <f>网约车!AD61-网约车!AD63</f>
        <v>2.2225979967528</v>
      </c>
      <c r="AE79" s="36">
        <f t="shared" ref="AE79:AE94" si="77">AD79/BE79-1</f>
        <v>-0.729886553673552</v>
      </c>
      <c r="AF79" s="35">
        <f>网约车!AF61-网约车!AF63</f>
        <v>2.3415392766403</v>
      </c>
      <c r="AG79" s="36">
        <f t="shared" ref="AG79:AG94" si="78">AF79/BG79-1</f>
        <v>-0.848299856614033</v>
      </c>
      <c r="AH79" s="35">
        <f>网约车!AH61-网约车!AH63</f>
        <v>3.0874792325311</v>
      </c>
      <c r="AI79" s="36">
        <f t="shared" ref="AI79:AI94" si="79">AH79/BI79-1</f>
        <v>-0.650141640462286</v>
      </c>
      <c r="AJ79" s="35">
        <f>网约车!AJ61-网约车!AJ63</f>
        <v>2.9944585337065</v>
      </c>
      <c r="AK79" s="36">
        <f t="shared" ref="AK79:AK94" si="80">AJ79/BK79-1</f>
        <v>-0.792485663312078</v>
      </c>
      <c r="AL79" s="35">
        <f>网约车!AL61-网约车!AL63</f>
        <v>2.9451685118526</v>
      </c>
      <c r="AM79" s="36">
        <f t="shared" ref="AM79:AM94" si="81">AL79/BM79-1</f>
        <v>-0.603713769776647</v>
      </c>
      <c r="AN79" s="35">
        <f>网约车!AN61-网约车!AN63</f>
        <v>3.5786565443553</v>
      </c>
      <c r="AO79" s="36">
        <f t="shared" ref="AO79:AO94" si="82">AN79/BO79-1</f>
        <v>-0.580260238038593</v>
      </c>
      <c r="AP79" s="35">
        <f>网约车!AP61-网约车!AP63</f>
        <v>5.782060412503</v>
      </c>
      <c r="AQ79" s="36">
        <f t="shared" ref="AQ79:AQ94" si="83">AP79/BQ79-1</f>
        <v>-0.230045835972245</v>
      </c>
      <c r="AR79" s="35">
        <f>网约车!AR61-网约车!AR63</f>
        <v>10.7417361993907</v>
      </c>
      <c r="AS79" s="36">
        <f t="shared" ref="AS79:AS94" si="84">AR79/BS79-1</f>
        <v>0.225930378264049</v>
      </c>
      <c r="AT79" s="35">
        <f t="shared" si="70"/>
        <v>40.7248386419105</v>
      </c>
      <c r="AU79" s="36">
        <f t="shared" si="71"/>
        <v>-0.623047755396053</v>
      </c>
      <c r="AV79" s="37"/>
      <c r="AW79" s="35">
        <v>9.44959287388106</v>
      </c>
      <c r="AX79" s="36"/>
      <c r="AY79" s="35">
        <v>5.03052167514014</v>
      </c>
      <c r="AZ79" s="36"/>
      <c r="BA79" s="35">
        <v>6.81548875203589</v>
      </c>
      <c r="BB79" s="36"/>
      <c r="BC79" s="35">
        <v>7.59321513761875</v>
      </c>
      <c r="BD79" s="36"/>
      <c r="BE79" s="35">
        <v>8.22838709801458</v>
      </c>
      <c r="BF79" s="36"/>
      <c r="BG79" s="35">
        <v>15.4353135361433</v>
      </c>
      <c r="BH79" s="36"/>
      <c r="BI79" s="35">
        <v>8.82494057483934</v>
      </c>
      <c r="BJ79" s="36"/>
      <c r="BK79" s="35">
        <v>14.4301284504011</v>
      </c>
      <c r="BL79" s="36"/>
      <c r="BM79" s="35">
        <v>7.43192240162536</v>
      </c>
      <c r="BN79" s="36"/>
      <c r="BO79" s="35">
        <v>8.52589358614145</v>
      </c>
      <c r="BP79" s="36"/>
      <c r="BQ79" s="35">
        <v>7.50961639359947</v>
      </c>
      <c r="BR79" s="36"/>
      <c r="BS79" s="35">
        <v>8.76210948830658</v>
      </c>
      <c r="BT79" s="36"/>
      <c r="BU79" s="35">
        <f t="shared" si="72"/>
        <v>108.037129967747</v>
      </c>
      <c r="BV79" s="36"/>
      <c r="BW79" s="40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7"/>
    </row>
    <row r="80" s="13" customFormat="1" ht="27" customHeight="1" spans="1:88">
      <c r="A80" s="48" t="s">
        <v>108</v>
      </c>
      <c r="B80" s="34" t="s">
        <v>293</v>
      </c>
      <c r="C80" s="35">
        <f>C81+C82+C83+C84</f>
        <v>142.244369214885</v>
      </c>
      <c r="D80" s="36">
        <f t="shared" si="61"/>
        <v>0.00590151988957266</v>
      </c>
      <c r="E80" s="35">
        <f>E81+E82+E83+E84</f>
        <v>146.496949387468</v>
      </c>
      <c r="F80" s="36">
        <f t="shared" si="62"/>
        <v>0.0802548943835861</v>
      </c>
      <c r="G80" s="35">
        <f>G81+G82+G83+G84</f>
        <v>135.283486775602</v>
      </c>
      <c r="H80" s="36">
        <f t="shared" si="63"/>
        <v>0.0981564455272814</v>
      </c>
      <c r="I80" s="35">
        <f>I81+I82+I83+I84</f>
        <v>137.072032760417</v>
      </c>
      <c r="J80" s="36">
        <f t="shared" si="64"/>
        <v>-0.101638663518281</v>
      </c>
      <c r="K80" s="35">
        <f>K81+K82+K83+K84</f>
        <v>150.49347173514</v>
      </c>
      <c r="L80" s="36">
        <f t="shared" si="65"/>
        <v>-0.0512455816345255</v>
      </c>
      <c r="M80" s="35">
        <f>M81+M82+M83+M84</f>
        <v>154.388680229488</v>
      </c>
      <c r="N80" s="36">
        <f t="shared" si="66"/>
        <v>-0.0789653275051457</v>
      </c>
      <c r="O80" s="35">
        <f>O81+O82+O83+O84</f>
        <v>160.559326438665</v>
      </c>
      <c r="P80" s="36">
        <f t="shared" si="67"/>
        <v>-0.0816269442964458</v>
      </c>
      <c r="Q80" s="127"/>
      <c r="R80" s="127"/>
      <c r="S80" s="131">
        <f t="shared" si="68"/>
        <v>1026.53831654166</v>
      </c>
      <c r="T80" s="132">
        <f t="shared" si="69"/>
        <v>-0.154331548908314</v>
      </c>
      <c r="U80" s="36"/>
      <c r="V80" s="35">
        <f>V81+V82+V83+V84</f>
        <v>141.409836253653</v>
      </c>
      <c r="W80" s="36">
        <f t="shared" si="73"/>
        <v>-0.0300553876162764</v>
      </c>
      <c r="X80" s="35">
        <f>X81+X82+X83+X84</f>
        <v>135.613316957996</v>
      </c>
      <c r="Y80" s="36">
        <f t="shared" si="74"/>
        <v>0.115622870006048</v>
      </c>
      <c r="Z80" s="35">
        <f>Z81+Z82+Z83+Z84</f>
        <v>123.191451752255</v>
      </c>
      <c r="AA80" s="36">
        <f t="shared" si="75"/>
        <v>0.0552631625270028</v>
      </c>
      <c r="AB80" s="35">
        <f>AB81+AB82+AB83+AB84</f>
        <v>152.580066832837</v>
      </c>
      <c r="AC80" s="36">
        <f t="shared" si="76"/>
        <v>0.0455865027783662</v>
      </c>
      <c r="AD80" s="35">
        <f>AD81+AD82+AD83+AD84</f>
        <v>158.622156399979</v>
      </c>
      <c r="AE80" s="36">
        <f t="shared" si="77"/>
        <v>0.0398638839606069</v>
      </c>
      <c r="AF80" s="35">
        <f>AF81+AF82+AF83+AF84</f>
        <v>167.625264107905</v>
      </c>
      <c r="AG80" s="36">
        <f t="shared" si="78"/>
        <v>0.0176517342269638</v>
      </c>
      <c r="AH80" s="35">
        <f>AH81+AH82+AH83+AH84</f>
        <v>174.830179785341</v>
      </c>
      <c r="AI80" s="36">
        <f t="shared" si="79"/>
        <v>0.0945321600434708</v>
      </c>
      <c r="AJ80" s="35">
        <f>AJ81+AJ82+AJ83+AJ84</f>
        <v>160.005714272764</v>
      </c>
      <c r="AK80" s="36">
        <f t="shared" si="80"/>
        <v>-0.00101390259545986</v>
      </c>
      <c r="AL80" s="35">
        <f>AL81+AL82+AL83+AL84</f>
        <v>153.365934442546</v>
      </c>
      <c r="AM80" s="36">
        <f t="shared" si="81"/>
        <v>0.0357978149679183</v>
      </c>
      <c r="AN80" s="35">
        <f>AN81+AN82+AN83+AN84</f>
        <v>172.182163827388</v>
      </c>
      <c r="AO80" s="36">
        <f t="shared" si="82"/>
        <v>0.0634690805871843</v>
      </c>
      <c r="AP80" s="35">
        <f>AP81+AP82+AP83+AP84</f>
        <v>152.570592399419</v>
      </c>
      <c r="AQ80" s="36">
        <f t="shared" si="83"/>
        <v>0.044853285659171</v>
      </c>
      <c r="AR80" s="35">
        <f>AR81+AR82+AR83+AR84</f>
        <v>152.394811544024</v>
      </c>
      <c r="AS80" s="36">
        <f t="shared" si="84"/>
        <v>0.0545829639288822</v>
      </c>
      <c r="AT80" s="35">
        <f t="shared" si="70"/>
        <v>1844.39148857611</v>
      </c>
      <c r="AU80" s="36">
        <f t="shared" si="71"/>
        <v>0.0433994799896362</v>
      </c>
      <c r="AV80" s="37"/>
      <c r="AW80" s="38">
        <f>AW81+AW82+AW83+AW84</f>
        <v>145.79166114045</v>
      </c>
      <c r="AX80" s="37"/>
      <c r="AY80" s="38">
        <f>AY81+AY82+AY83+AY84</f>
        <v>121.558387340393</v>
      </c>
      <c r="AZ80" s="37"/>
      <c r="BA80" s="38">
        <f>BA81+BA82+BA83+BA84</f>
        <v>116.740028579461</v>
      </c>
      <c r="BB80" s="37"/>
      <c r="BC80" s="38">
        <f>BC81+BC82+BC83+BC84</f>
        <v>145.927731878134</v>
      </c>
      <c r="BD80" s="37"/>
      <c r="BE80" s="38">
        <f>BE81+BE82+BE83+BE84</f>
        <v>152.541268955148</v>
      </c>
      <c r="BF80" s="37"/>
      <c r="BG80" s="38">
        <f>BG81+BG82+BG83+BG84</f>
        <v>164.717710853446</v>
      </c>
      <c r="BH80" s="37"/>
      <c r="BI80" s="38">
        <f>BI81+BI82+BI83+BI84</f>
        <v>159.730509680408</v>
      </c>
      <c r="BJ80" s="37"/>
      <c r="BK80" s="38">
        <f>BK81+BK82+BK83+BK84</f>
        <v>160.168109134325</v>
      </c>
      <c r="BL80" s="37"/>
      <c r="BM80" s="38">
        <f>BM81+BM82+BM83+BM84</f>
        <v>148.065512618692</v>
      </c>
      <c r="BN80" s="37"/>
      <c r="BO80" s="38">
        <f>BO81+BO82+BO83+BO84</f>
        <v>161.906130578163</v>
      </c>
      <c r="BP80" s="37"/>
      <c r="BQ80" s="38">
        <f>BQ81+BQ82+BQ83+BQ84</f>
        <v>146.021067735999</v>
      </c>
      <c r="BR80" s="37"/>
      <c r="BS80" s="38">
        <f>BS81+BS82+BS83+BS84</f>
        <v>144.507181280714</v>
      </c>
      <c r="BT80" s="37"/>
      <c r="BU80" s="38">
        <f t="shared" si="72"/>
        <v>1767.67529977533</v>
      </c>
      <c r="BV80" s="37"/>
      <c r="BW80" s="39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</row>
    <row r="81" s="14" customFormat="1" ht="27" customHeight="1" spans="1:88">
      <c r="A81" s="45"/>
      <c r="B81" s="34" t="s">
        <v>294</v>
      </c>
      <c r="C81" s="35">
        <f>班线包车!C52</f>
        <v>2.2826</v>
      </c>
      <c r="D81" s="36">
        <f t="shared" si="61"/>
        <v>-0.270525071106708</v>
      </c>
      <c r="E81" s="35">
        <f>班线包车!E52</f>
        <v>2.1525</v>
      </c>
      <c r="F81" s="36">
        <f t="shared" si="62"/>
        <v>-0.202482400889218</v>
      </c>
      <c r="G81" s="35">
        <f>班线包车!G52</f>
        <v>2.2929</v>
      </c>
      <c r="H81" s="36">
        <f t="shared" si="63"/>
        <v>-0.119131771033423</v>
      </c>
      <c r="I81" s="35">
        <f>班线包车!I52</f>
        <v>2.26</v>
      </c>
      <c r="J81" s="36">
        <f t="shared" si="64"/>
        <v>-0.0124967228873549</v>
      </c>
      <c r="K81" s="35">
        <f>班线包车!K52</f>
        <v>2.0421</v>
      </c>
      <c r="L81" s="36">
        <f t="shared" si="65"/>
        <v>-0.191407642051079</v>
      </c>
      <c r="M81" s="35">
        <f>班线包车!M52</f>
        <v>2.0576</v>
      </c>
      <c r="N81" s="36">
        <f t="shared" si="66"/>
        <v>-0.194897679696365</v>
      </c>
      <c r="O81" s="35">
        <f>班线包车!O52</f>
        <v>1.9483</v>
      </c>
      <c r="P81" s="36">
        <f t="shared" si="67"/>
        <v>-0.195249896736886</v>
      </c>
      <c r="Q81" s="127"/>
      <c r="R81" s="127"/>
      <c r="S81" s="131">
        <f t="shared" si="68"/>
        <v>15.036</v>
      </c>
      <c r="T81" s="132">
        <f t="shared" si="69"/>
        <v>-0.280742792359686</v>
      </c>
      <c r="U81" s="36"/>
      <c r="V81" s="35">
        <f>班线包车!V52</f>
        <v>3.1291</v>
      </c>
      <c r="W81" s="36">
        <f t="shared" si="73"/>
        <v>-0.218428414427016</v>
      </c>
      <c r="X81" s="35">
        <f>班线包车!X52</f>
        <v>2.699</v>
      </c>
      <c r="Y81" s="36">
        <f t="shared" si="74"/>
        <v>0.182941795231417</v>
      </c>
      <c r="Z81" s="35">
        <f>班线包车!Z52</f>
        <v>2.603</v>
      </c>
      <c r="AA81" s="36">
        <f t="shared" si="75"/>
        <v>0.0149730952195275</v>
      </c>
      <c r="AB81" s="35">
        <f>班线包车!AB52</f>
        <v>2.2886</v>
      </c>
      <c r="AC81" s="36">
        <f t="shared" si="76"/>
        <v>-0.238580031273913</v>
      </c>
      <c r="AD81" s="35">
        <f>班线包车!AD52</f>
        <v>2.5255</v>
      </c>
      <c r="AE81" s="36">
        <f t="shared" si="77"/>
        <v>-0.263552328463535</v>
      </c>
      <c r="AF81" s="35">
        <f>班线包车!AF52</f>
        <v>2.5557</v>
      </c>
      <c r="AG81" s="36">
        <f t="shared" si="78"/>
        <v>-0.248080261260996</v>
      </c>
      <c r="AH81" s="35">
        <f>班线包车!AH52</f>
        <v>2.421</v>
      </c>
      <c r="AI81" s="36">
        <f t="shared" si="79"/>
        <v>-0.114775677355662</v>
      </c>
      <c r="AJ81" s="35">
        <f>班线包车!AJ52</f>
        <v>2.683</v>
      </c>
      <c r="AK81" s="36">
        <f t="shared" si="80"/>
        <v>0.0201520912547528</v>
      </c>
      <c r="AL81" s="35">
        <f>班线包车!AL52</f>
        <v>2.4105</v>
      </c>
      <c r="AM81" s="36">
        <f t="shared" si="81"/>
        <v>-0.0401003504300733</v>
      </c>
      <c r="AN81" s="35">
        <f>班线包车!AN52</f>
        <v>2.71</v>
      </c>
      <c r="AO81" s="36">
        <f t="shared" si="82"/>
        <v>-0.066257795541467</v>
      </c>
      <c r="AP81" s="35">
        <f>班线包车!AP52</f>
        <v>2.4835</v>
      </c>
      <c r="AQ81" s="36">
        <f t="shared" si="83"/>
        <v>-0.222886288253333</v>
      </c>
      <c r="AR81" s="35">
        <f>班线包车!AR52</f>
        <v>2.3858</v>
      </c>
      <c r="AS81" s="36">
        <f t="shared" si="84"/>
        <v>-0.241326676630521</v>
      </c>
      <c r="AT81" s="35">
        <f t="shared" si="70"/>
        <v>30.8947</v>
      </c>
      <c r="AU81" s="36">
        <f t="shared" si="71"/>
        <v>-0.137082223078771</v>
      </c>
      <c r="AV81" s="37"/>
      <c r="AW81" s="35">
        <v>4.0036</v>
      </c>
      <c r="AX81" s="36"/>
      <c r="AY81" s="35">
        <v>2.2816</v>
      </c>
      <c r="AZ81" s="36"/>
      <c r="BA81" s="35">
        <v>2.5646</v>
      </c>
      <c r="BB81" s="36"/>
      <c r="BC81" s="35">
        <v>3.0057</v>
      </c>
      <c r="BD81" s="36"/>
      <c r="BE81" s="35">
        <v>3.4293</v>
      </c>
      <c r="BF81" s="36"/>
      <c r="BG81" s="35">
        <v>3.3989</v>
      </c>
      <c r="BH81" s="36"/>
      <c r="BI81" s="35">
        <v>2.7349</v>
      </c>
      <c r="BJ81" s="36"/>
      <c r="BK81" s="35">
        <v>2.63</v>
      </c>
      <c r="BL81" s="36"/>
      <c r="BM81" s="35">
        <v>2.5112</v>
      </c>
      <c r="BN81" s="36"/>
      <c r="BO81" s="35">
        <v>2.9023</v>
      </c>
      <c r="BP81" s="36"/>
      <c r="BQ81" s="35">
        <v>3.1958</v>
      </c>
      <c r="BR81" s="36"/>
      <c r="BS81" s="35">
        <v>3.1447</v>
      </c>
      <c r="BT81" s="36"/>
      <c r="BU81" s="35">
        <f t="shared" si="72"/>
        <v>35.8026</v>
      </c>
      <c r="BV81" s="36"/>
      <c r="BW81" s="40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7"/>
    </row>
    <row r="82" s="14" customFormat="1" ht="27" customHeight="1" spans="1:88">
      <c r="A82" s="45"/>
      <c r="B82" s="34" t="s">
        <v>295</v>
      </c>
      <c r="C82" s="35">
        <f>公交!C65-公交!C67</f>
        <v>124.15</v>
      </c>
      <c r="D82" s="36">
        <f t="shared" si="61"/>
        <v>0.022652388797364</v>
      </c>
      <c r="E82" s="35">
        <f>公交!E65-公交!E67</f>
        <v>128.99</v>
      </c>
      <c r="F82" s="36">
        <f t="shared" si="62"/>
        <v>0.116989954970558</v>
      </c>
      <c r="G82" s="35">
        <f>公交!G65-公交!G67</f>
        <v>118.21</v>
      </c>
      <c r="H82" s="36">
        <f t="shared" si="63"/>
        <v>0.152818412326897</v>
      </c>
      <c r="I82" s="35">
        <f>公交!I65-公交!I67</f>
        <v>118.81</v>
      </c>
      <c r="J82" s="36">
        <f t="shared" si="64"/>
        <v>-0.110237399835243</v>
      </c>
      <c r="K82" s="35">
        <f>公交!K65-公交!K67</f>
        <v>127.19</v>
      </c>
      <c r="L82" s="36">
        <f t="shared" si="65"/>
        <v>-0.0674536256323776</v>
      </c>
      <c r="M82" s="35">
        <f>公交!M65-公交!M67</f>
        <v>134.92</v>
      </c>
      <c r="N82" s="36">
        <f t="shared" si="66"/>
        <v>-0.102985173858121</v>
      </c>
      <c r="O82" s="35">
        <f>公交!O65-公交!O67</f>
        <v>139.32</v>
      </c>
      <c r="P82" s="36">
        <f t="shared" si="67"/>
        <v>-0.100464876033058</v>
      </c>
      <c r="Q82" s="127"/>
      <c r="R82" s="127"/>
      <c r="S82" s="131">
        <f t="shared" si="68"/>
        <v>891.59</v>
      </c>
      <c r="T82" s="132">
        <f t="shared" si="69"/>
        <v>-0.16022416878591</v>
      </c>
      <c r="U82" s="36"/>
      <c r="V82" s="35">
        <f>公交!V65-公交!V67</f>
        <v>121.4</v>
      </c>
      <c r="W82" s="36">
        <f t="shared" si="73"/>
        <v>-0.0303514376996805</v>
      </c>
      <c r="X82" s="35">
        <f>公交!X65-公交!X67</f>
        <v>115.48</v>
      </c>
      <c r="Y82" s="36">
        <f t="shared" si="74"/>
        <v>0.106130268199234</v>
      </c>
      <c r="Z82" s="35">
        <f>公交!Z65-公交!Z67</f>
        <v>102.54</v>
      </c>
      <c r="AA82" s="36">
        <f t="shared" si="75"/>
        <v>0.0291047771979125</v>
      </c>
      <c r="AB82" s="35">
        <f>公交!AB65-公交!AB67</f>
        <v>133.53</v>
      </c>
      <c r="AC82" s="36">
        <f t="shared" si="76"/>
        <v>0.069866196618861</v>
      </c>
      <c r="AD82" s="35">
        <f>公交!AD65-公交!AD67</f>
        <v>136.39</v>
      </c>
      <c r="AE82" s="36">
        <f t="shared" si="77"/>
        <v>0.069054710769713</v>
      </c>
      <c r="AF82" s="35">
        <f>公交!AF65-公交!AF67</f>
        <v>150.41</v>
      </c>
      <c r="AG82" s="36">
        <f t="shared" si="78"/>
        <v>0.0809198706431908</v>
      </c>
      <c r="AH82" s="35">
        <f>公交!AH65-公交!AH67</f>
        <v>154.88</v>
      </c>
      <c r="AI82" s="36">
        <f t="shared" si="79"/>
        <v>0.125499600319744</v>
      </c>
      <c r="AJ82" s="35">
        <f>公交!AJ65-公交!AJ67</f>
        <v>147.07</v>
      </c>
      <c r="AK82" s="36">
        <f t="shared" si="80"/>
        <v>0.0832289902040213</v>
      </c>
      <c r="AL82" s="35">
        <f>公交!AL65-公交!AL67</f>
        <v>141.24</v>
      </c>
      <c r="AM82" s="36">
        <f t="shared" si="81"/>
        <v>0.0987164527421236</v>
      </c>
      <c r="AN82" s="35">
        <f>公交!AN65-公交!AN67</f>
        <v>153.07</v>
      </c>
      <c r="AO82" s="36">
        <f t="shared" si="82"/>
        <v>0.108961819894226</v>
      </c>
      <c r="AP82" s="35">
        <f>公交!AP65-公交!AP67</f>
        <v>139.22</v>
      </c>
      <c r="AQ82" s="36">
        <f t="shared" si="83"/>
        <v>0.111714445420426</v>
      </c>
      <c r="AR82" s="35">
        <f>公交!AR65-公交!AR67</f>
        <v>137.58</v>
      </c>
      <c r="AS82" s="36">
        <f t="shared" si="84"/>
        <v>0.107997100748973</v>
      </c>
      <c r="AT82" s="35">
        <f t="shared" si="70"/>
        <v>1632.81</v>
      </c>
      <c r="AU82" s="36">
        <f t="shared" si="71"/>
        <v>0.0812308792562277</v>
      </c>
      <c r="AV82" s="37"/>
      <c r="AW82" s="35">
        <v>125.2</v>
      </c>
      <c r="AX82" s="36"/>
      <c r="AY82" s="35">
        <v>104.4</v>
      </c>
      <c r="AZ82" s="36"/>
      <c r="BA82" s="35">
        <v>99.64</v>
      </c>
      <c r="BB82" s="36"/>
      <c r="BC82" s="35">
        <v>124.81</v>
      </c>
      <c r="BD82" s="36"/>
      <c r="BE82" s="35">
        <v>127.58</v>
      </c>
      <c r="BF82" s="36"/>
      <c r="BG82" s="35">
        <v>139.15</v>
      </c>
      <c r="BH82" s="36"/>
      <c r="BI82" s="35">
        <v>137.61</v>
      </c>
      <c r="BJ82" s="36"/>
      <c r="BK82" s="35">
        <v>135.77</v>
      </c>
      <c r="BL82" s="36"/>
      <c r="BM82" s="35">
        <v>128.55</v>
      </c>
      <c r="BN82" s="36"/>
      <c r="BO82" s="35">
        <v>138.03</v>
      </c>
      <c r="BP82" s="36"/>
      <c r="BQ82" s="35">
        <v>125.23</v>
      </c>
      <c r="BR82" s="36"/>
      <c r="BS82" s="35">
        <v>124.17</v>
      </c>
      <c r="BT82" s="36"/>
      <c r="BU82" s="35">
        <f t="shared" si="72"/>
        <v>1510.14</v>
      </c>
      <c r="BV82" s="36"/>
      <c r="BW82" s="40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7"/>
    </row>
    <row r="83" s="14" customFormat="1" ht="27" customHeight="1" spans="1:88">
      <c r="A83" s="45"/>
      <c r="B83" s="34" t="s">
        <v>296</v>
      </c>
      <c r="C83" s="35">
        <f>出租!C65-出租!C67</f>
        <v>9.86999999999999</v>
      </c>
      <c r="D83" s="36">
        <f t="shared" si="61"/>
        <v>-0.367307692307693</v>
      </c>
      <c r="E83" s="35">
        <f>出租!E65-出租!E67</f>
        <v>9.63</v>
      </c>
      <c r="F83" s="36">
        <f t="shared" si="62"/>
        <v>-0.390506329113924</v>
      </c>
      <c r="G83" s="35">
        <f>出租!G65-出租!G67</f>
        <v>9.25</v>
      </c>
      <c r="H83" s="36">
        <f t="shared" si="63"/>
        <v>-0.372881355932203</v>
      </c>
      <c r="I83" s="35">
        <f>出租!I65-出租!I67</f>
        <v>10.11</v>
      </c>
      <c r="J83" s="36">
        <f t="shared" si="64"/>
        <v>-0.308481532147743</v>
      </c>
      <c r="K83" s="35">
        <f>出租!K65-出租!K67</f>
        <v>14.03</v>
      </c>
      <c r="L83" s="36">
        <f t="shared" si="65"/>
        <v>-0.18096906012843</v>
      </c>
      <c r="M83" s="35">
        <f>出租!M65-出租!M67</f>
        <v>10.87</v>
      </c>
      <c r="N83" s="36">
        <f t="shared" si="66"/>
        <v>-0.101652892561985</v>
      </c>
      <c r="O83" s="35">
        <f>出租!O65-出租!O67</f>
        <v>11.9</v>
      </c>
      <c r="P83" s="36">
        <f t="shared" si="67"/>
        <v>-0.156028368794327</v>
      </c>
      <c r="Q83" s="127"/>
      <c r="R83" s="127"/>
      <c r="S83" s="131">
        <f t="shared" si="68"/>
        <v>75.66</v>
      </c>
      <c r="T83" s="132">
        <f t="shared" si="69"/>
        <v>-0.323497854077254</v>
      </c>
      <c r="U83" s="36"/>
      <c r="V83" s="35">
        <f>出租!V65-出租!V67</f>
        <v>15.6</v>
      </c>
      <c r="W83" s="36">
        <f t="shared" si="73"/>
        <v>0.164179104477613</v>
      </c>
      <c r="X83" s="35">
        <f>出租!X65-出租!X67</f>
        <v>15.8</v>
      </c>
      <c r="Y83" s="36">
        <f t="shared" si="74"/>
        <v>0.215384615384615</v>
      </c>
      <c r="Z83" s="35">
        <f>出租!Z65-出租!Z67</f>
        <v>14.75</v>
      </c>
      <c r="AA83" s="36">
        <f t="shared" si="75"/>
        <v>0.260683760683761</v>
      </c>
      <c r="AB83" s="35">
        <f>出租!AB65-出租!AB67</f>
        <v>14.62</v>
      </c>
      <c r="AC83" s="36">
        <f t="shared" si="76"/>
        <v>0.0152777777777782</v>
      </c>
      <c r="AD83" s="35">
        <f>出租!AD65-出租!AD67</f>
        <v>17.13</v>
      </c>
      <c r="AE83" s="36">
        <f t="shared" si="77"/>
        <v>-0.0155172413793097</v>
      </c>
      <c r="AF83" s="35">
        <f>出租!AF65-出租!AF67</f>
        <v>12.1</v>
      </c>
      <c r="AG83" s="36">
        <f t="shared" si="78"/>
        <v>-0.0970149253731337</v>
      </c>
      <c r="AH83" s="35">
        <f>出租!AH65-出租!AH67</f>
        <v>14.1</v>
      </c>
      <c r="AI83" s="36">
        <f t="shared" si="79"/>
        <v>0</v>
      </c>
      <c r="AJ83" s="35">
        <f>出租!AJ65-出租!AJ67</f>
        <v>7.73999999999999</v>
      </c>
      <c r="AK83" s="36">
        <f t="shared" si="80"/>
        <v>-0.370731707317074</v>
      </c>
      <c r="AL83" s="35">
        <f>出租!AL65-出租!AL67</f>
        <v>7.31</v>
      </c>
      <c r="AM83" s="36">
        <f t="shared" si="81"/>
        <v>-0.390833333333333</v>
      </c>
      <c r="AN83" s="35">
        <f>出租!AN65-出租!AN67</f>
        <v>12.57</v>
      </c>
      <c r="AO83" s="36">
        <f t="shared" si="82"/>
        <v>-0.183766233766234</v>
      </c>
      <c r="AP83" s="35">
        <f>出租!AP65-出租!AP67</f>
        <v>7.71000000000001</v>
      </c>
      <c r="AQ83" s="36">
        <f t="shared" si="83"/>
        <v>-0.411450381679389</v>
      </c>
      <c r="AR83" s="35">
        <f>出租!AR65-出租!AR67</f>
        <v>7.61</v>
      </c>
      <c r="AS83" s="36">
        <f t="shared" si="84"/>
        <v>-0.396031746031746</v>
      </c>
      <c r="AT83" s="35">
        <f t="shared" si="70"/>
        <v>147.04</v>
      </c>
      <c r="AU83" s="36">
        <f t="shared" si="71"/>
        <v>-0.0968058968058966</v>
      </c>
      <c r="AV83" s="37"/>
      <c r="AW83" s="35">
        <v>13.4</v>
      </c>
      <c r="AX83" s="36"/>
      <c r="AY83" s="35">
        <v>13</v>
      </c>
      <c r="AZ83" s="36"/>
      <c r="BA83" s="35">
        <v>11.7</v>
      </c>
      <c r="BB83" s="36"/>
      <c r="BC83" s="35">
        <v>14.4</v>
      </c>
      <c r="BD83" s="36"/>
      <c r="BE83" s="35">
        <v>17.4</v>
      </c>
      <c r="BF83" s="36"/>
      <c r="BG83" s="35">
        <v>13.4</v>
      </c>
      <c r="BH83" s="36"/>
      <c r="BI83" s="35">
        <v>14.1</v>
      </c>
      <c r="BJ83" s="36"/>
      <c r="BK83" s="35">
        <v>12.3</v>
      </c>
      <c r="BL83" s="36"/>
      <c r="BM83" s="35">
        <v>12</v>
      </c>
      <c r="BN83" s="36"/>
      <c r="BO83" s="35">
        <v>15.4</v>
      </c>
      <c r="BP83" s="36"/>
      <c r="BQ83" s="35">
        <v>13.1</v>
      </c>
      <c r="BR83" s="36"/>
      <c r="BS83" s="35">
        <v>12.6</v>
      </c>
      <c r="BT83" s="36"/>
      <c r="BU83" s="35">
        <f t="shared" si="72"/>
        <v>162.8</v>
      </c>
      <c r="BV83" s="36"/>
      <c r="BW83" s="40"/>
      <c r="BX83" s="49"/>
      <c r="BY83" s="49"/>
      <c r="BZ83" s="49"/>
      <c r="CA83" s="49"/>
      <c r="CB83" s="49"/>
      <c r="CC83" s="49"/>
      <c r="CD83" s="50"/>
      <c r="CE83" s="49"/>
      <c r="CF83" s="50"/>
      <c r="CG83" s="50"/>
      <c r="CH83" s="50"/>
      <c r="CI83" s="50"/>
      <c r="CJ83" s="47"/>
    </row>
    <row r="84" s="14" customFormat="1" ht="27" customHeight="1" spans="1:88">
      <c r="A84" s="29"/>
      <c r="B84" s="34" t="s">
        <v>297</v>
      </c>
      <c r="C84" s="35">
        <f>网约车!C65-网约车!C67</f>
        <v>5.9417692148848</v>
      </c>
      <c r="D84" s="36">
        <f t="shared" si="61"/>
        <v>3.63933866003953</v>
      </c>
      <c r="E84" s="35">
        <f>网约车!E65-网约车!E67</f>
        <v>5.7244493874677</v>
      </c>
      <c r="F84" s="36">
        <f t="shared" si="62"/>
        <v>2.50265556473647</v>
      </c>
      <c r="G84" s="35">
        <f>网约车!G65-网约车!G67</f>
        <v>5.5305867756016</v>
      </c>
      <c r="H84" s="36">
        <f t="shared" si="63"/>
        <v>0.676722047494281</v>
      </c>
      <c r="I84" s="35">
        <f>网约车!I65-网约车!I67</f>
        <v>5.8920327604175</v>
      </c>
      <c r="J84" s="36">
        <f t="shared" si="64"/>
        <v>1.7514004280009</v>
      </c>
      <c r="K84" s="35">
        <f>网约车!K65-网约车!K67</f>
        <v>7.2313717351398</v>
      </c>
      <c r="L84" s="36">
        <f t="shared" si="65"/>
        <v>1.80649439141269</v>
      </c>
      <c r="M84" s="35">
        <f>网约车!M65-网约车!M67</f>
        <v>6.5410802294879</v>
      </c>
      <c r="N84" s="36">
        <f t="shared" si="66"/>
        <v>1.55554459811568</v>
      </c>
      <c r="O84" s="35">
        <f>网约车!O65-网约车!O67</f>
        <v>7.3910264386654</v>
      </c>
      <c r="P84" s="36">
        <f t="shared" si="67"/>
        <v>1.15533360783836</v>
      </c>
      <c r="Q84" s="127"/>
      <c r="R84" s="127"/>
      <c r="S84" s="131">
        <f t="shared" si="68"/>
        <v>44.2523165416647</v>
      </c>
      <c r="T84" s="132">
        <f t="shared" si="69"/>
        <v>1.27716358151601</v>
      </c>
      <c r="U84" s="36"/>
      <c r="V84" s="35">
        <f>网约车!V65-网约车!V67</f>
        <v>1.28073625365262</v>
      </c>
      <c r="W84" s="36">
        <f t="shared" si="73"/>
        <v>-0.598271112996291</v>
      </c>
      <c r="X84" s="35">
        <f>网约车!X65-网约车!X67</f>
        <v>1.63431695799595</v>
      </c>
      <c r="Y84" s="36">
        <f t="shared" si="74"/>
        <v>-0.129194382964133</v>
      </c>
      <c r="Z84" s="35">
        <f>网约车!Z65-网约车!Z67</f>
        <v>3.2984517522547</v>
      </c>
      <c r="AA84" s="36">
        <f t="shared" si="75"/>
        <v>0.163299183815703</v>
      </c>
      <c r="AB84" s="35">
        <f>网约车!AB65-网约车!AB67</f>
        <v>2.14146683283702</v>
      </c>
      <c r="AC84" s="36">
        <f t="shared" si="76"/>
        <v>-0.42310117392806</v>
      </c>
      <c r="AD84" s="35">
        <f>网约车!AD65-网约车!AD67</f>
        <v>2.5766563999794</v>
      </c>
      <c r="AE84" s="36">
        <f t="shared" si="77"/>
        <v>-0.376409545195307</v>
      </c>
      <c r="AF84" s="35">
        <f>网约车!AF65-网约车!AF67</f>
        <v>2.5595641079052</v>
      </c>
      <c r="AG84" s="36">
        <f t="shared" si="78"/>
        <v>-0.708105905044212</v>
      </c>
      <c r="AH84" s="35">
        <f>网约车!AH65-网约车!AH67</f>
        <v>3.429179785341</v>
      </c>
      <c r="AI84" s="36">
        <f t="shared" si="79"/>
        <v>-0.351223417413487</v>
      </c>
      <c r="AJ84" s="35">
        <f>网约车!AJ65-网约车!AJ67</f>
        <v>2.5127142727643</v>
      </c>
      <c r="AK84" s="36">
        <f t="shared" si="80"/>
        <v>-0.734612873899524</v>
      </c>
      <c r="AL84" s="35">
        <f>网约车!AL65-网约车!AL67</f>
        <v>2.4054344425461</v>
      </c>
      <c r="AM84" s="36">
        <f t="shared" si="81"/>
        <v>-0.519327702757561</v>
      </c>
      <c r="AN84" s="35">
        <f>网约车!AN65-网约车!AN67</f>
        <v>3.832163827388</v>
      </c>
      <c r="AO84" s="36">
        <f t="shared" si="82"/>
        <v>-0.312472136774068</v>
      </c>
      <c r="AP84" s="35">
        <f>网约车!AP65-网约车!AP67</f>
        <v>3.1570923994188</v>
      </c>
      <c r="AQ84" s="36">
        <f t="shared" si="83"/>
        <v>-0.297685347162689</v>
      </c>
      <c r="AR84" s="35">
        <f>网约车!AR65-网约车!AR67</f>
        <v>4.8190115440239</v>
      </c>
      <c r="AS84" s="36">
        <f t="shared" si="84"/>
        <v>0.0493263335140874</v>
      </c>
      <c r="AT84" s="35">
        <f t="shared" si="70"/>
        <v>33.646788576107</v>
      </c>
      <c r="AU84" s="36">
        <f t="shared" si="71"/>
        <v>-0.429064191792036</v>
      </c>
      <c r="AV84" s="37"/>
      <c r="AW84" s="35">
        <v>3.18806114044967</v>
      </c>
      <c r="AX84" s="36"/>
      <c r="AY84" s="35">
        <v>1.87678734039291</v>
      </c>
      <c r="AZ84" s="36"/>
      <c r="BA84" s="35">
        <v>2.835428579461</v>
      </c>
      <c r="BB84" s="36"/>
      <c r="BC84" s="35">
        <v>3.71203187813382</v>
      </c>
      <c r="BD84" s="36"/>
      <c r="BE84" s="35">
        <v>4.13196895514766</v>
      </c>
      <c r="BF84" s="36"/>
      <c r="BG84" s="35">
        <v>8.7688108534463</v>
      </c>
      <c r="BH84" s="36"/>
      <c r="BI84" s="35">
        <v>5.28560968040755</v>
      </c>
      <c r="BJ84" s="36"/>
      <c r="BK84" s="35">
        <v>9.46810913432547</v>
      </c>
      <c r="BL84" s="36"/>
      <c r="BM84" s="35">
        <v>5.00431261869219</v>
      </c>
      <c r="BN84" s="36"/>
      <c r="BO84" s="35">
        <v>5.57383057816334</v>
      </c>
      <c r="BP84" s="36"/>
      <c r="BQ84" s="35">
        <v>4.49526773599885</v>
      </c>
      <c r="BR84" s="36"/>
      <c r="BS84" s="35">
        <v>4.59248128071419</v>
      </c>
      <c r="BT84" s="36"/>
      <c r="BU84" s="35">
        <f t="shared" si="72"/>
        <v>58.9326997753329</v>
      </c>
      <c r="BV84" s="36"/>
      <c r="BW84" s="40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7"/>
    </row>
    <row r="85" s="13" customFormat="1" ht="27" customHeight="1" spans="1:88">
      <c r="A85" s="48" t="s">
        <v>110</v>
      </c>
      <c r="B85" s="34" t="s">
        <v>293</v>
      </c>
      <c r="C85" s="35">
        <f>C86+C87+C88+C89</f>
        <v>96.2590227928098</v>
      </c>
      <c r="D85" s="36">
        <f t="shared" si="61"/>
        <v>0.251883017870749</v>
      </c>
      <c r="E85" s="35">
        <f>E86+E87+E88+E89</f>
        <v>107.737916705383</v>
      </c>
      <c r="F85" s="36">
        <f t="shared" si="62"/>
        <v>0.0479115468301436</v>
      </c>
      <c r="G85" s="35">
        <f>G86+G87+G88+G89</f>
        <v>100.255447596789</v>
      </c>
      <c r="H85" s="36">
        <f t="shared" si="63"/>
        <v>-0.000767395292920026</v>
      </c>
      <c r="I85" s="35">
        <f>I86+I87+I88+I89</f>
        <v>101.949507548101</v>
      </c>
      <c r="J85" s="36">
        <f t="shared" si="64"/>
        <v>0.0581603095725525</v>
      </c>
      <c r="K85" s="35">
        <f>K86+K87+K88+K89</f>
        <v>105.929712106816</v>
      </c>
      <c r="L85" s="36">
        <f t="shared" si="65"/>
        <v>0.0580626908767905</v>
      </c>
      <c r="M85" s="35">
        <f>M86+M87+M88+M89</f>
        <v>101.776621497297</v>
      </c>
      <c r="N85" s="36">
        <f t="shared" si="66"/>
        <v>0.137977829853594</v>
      </c>
      <c r="O85" s="35">
        <f>O86+O87+O88+O89</f>
        <v>98.4095249978276</v>
      </c>
      <c r="P85" s="36">
        <f t="shared" si="67"/>
        <v>0.141497552855017</v>
      </c>
      <c r="Q85" s="127"/>
      <c r="R85" s="127"/>
      <c r="S85" s="131">
        <f t="shared" si="68"/>
        <v>712.317753245023</v>
      </c>
      <c r="T85" s="132">
        <f t="shared" si="69"/>
        <v>-0.0339376381167752</v>
      </c>
      <c r="U85" s="36"/>
      <c r="V85" s="35">
        <f>V86+V87+V88+V89</f>
        <v>76.8913879481574</v>
      </c>
      <c r="W85" s="36">
        <f t="shared" si="73"/>
        <v>-0.20780223046518</v>
      </c>
      <c r="X85" s="35">
        <f>X86+X87+X88+X89</f>
        <v>102.812033163755</v>
      </c>
      <c r="Y85" s="36">
        <f t="shared" si="74"/>
        <v>0.104491725145545</v>
      </c>
      <c r="Z85" s="35">
        <f>Z86+Z87+Z88+Z89</f>
        <v>100.332442240691</v>
      </c>
      <c r="AA85" s="36">
        <f t="shared" si="75"/>
        <v>0.194678417893278</v>
      </c>
      <c r="AB85" s="35">
        <f>AB86+AB87+AB88+AB89</f>
        <v>96.3459946719074</v>
      </c>
      <c r="AC85" s="36">
        <f t="shared" si="76"/>
        <v>0.214435233023815</v>
      </c>
      <c r="AD85" s="35">
        <f>AD86+AD87+AD88+AD89</f>
        <v>100.116668908375</v>
      </c>
      <c r="AE85" s="36">
        <f t="shared" si="77"/>
        <v>0.220803698494355</v>
      </c>
      <c r="AF85" s="35">
        <f>AF86+AF87+AF88+AF89</f>
        <v>89.4363834051066</v>
      </c>
      <c r="AG85" s="36">
        <f t="shared" si="78"/>
        <v>0.0321383312489882</v>
      </c>
      <c r="AH85" s="35">
        <f>AH86+AH87+AH88+AH89</f>
        <v>86.2108944094484</v>
      </c>
      <c r="AI85" s="36">
        <f t="shared" si="79"/>
        <v>0.0660554268855891</v>
      </c>
      <c r="AJ85" s="35">
        <f>AJ86+AJ87+AJ88+AJ89</f>
        <v>85.1955733561869</v>
      </c>
      <c r="AK85" s="36">
        <f t="shared" si="80"/>
        <v>-0.058225439417845</v>
      </c>
      <c r="AL85" s="35">
        <f>AL86+AL87+AL88+AL89</f>
        <v>81.4124652709919</v>
      </c>
      <c r="AM85" s="36">
        <f t="shared" si="81"/>
        <v>0.0390437085796416</v>
      </c>
      <c r="AN85" s="35">
        <f>AN86+AN87+AN88+AN89</f>
        <v>87.9534820794609</v>
      </c>
      <c r="AO85" s="36">
        <f t="shared" si="82"/>
        <v>0.0552652228770205</v>
      </c>
      <c r="AP85" s="35">
        <f>AP86+AP87+AP88+AP89</f>
        <v>82.6387287586704</v>
      </c>
      <c r="AQ85" s="36">
        <f t="shared" si="83"/>
        <v>0.0470533440231928</v>
      </c>
      <c r="AR85" s="35">
        <f>AR86+AR87+AR88+AR89</f>
        <v>86.3003890973365</v>
      </c>
      <c r="AS85" s="36">
        <f t="shared" si="84"/>
        <v>0.157601447490453</v>
      </c>
      <c r="AT85" s="35">
        <f t="shared" si="70"/>
        <v>1075.64644331009</v>
      </c>
      <c r="AU85" s="36">
        <f t="shared" si="71"/>
        <v>0.0664410585106552</v>
      </c>
      <c r="AV85" s="37"/>
      <c r="AW85" s="38">
        <f>AW86+AW87+AW88+AW89</f>
        <v>97.060848824793</v>
      </c>
      <c r="AX85" s="37"/>
      <c r="AY85" s="38">
        <f>AY86+AY87+AY88+AY89</f>
        <v>93.0853811061436</v>
      </c>
      <c r="AZ85" s="37"/>
      <c r="BA85" s="38">
        <f>BA86+BA87+BA88+BA89</f>
        <v>83.9828030187568</v>
      </c>
      <c r="BB85" s="37"/>
      <c r="BC85" s="38">
        <f>BC86+BC87+BC88+BC89</f>
        <v>79.3339916794213</v>
      </c>
      <c r="BD85" s="37"/>
      <c r="BE85" s="38">
        <f>BE86+BE87+BE88+BE89</f>
        <v>82.0088184790488</v>
      </c>
      <c r="BF85" s="37"/>
      <c r="BG85" s="38">
        <f>BG86+BG87+BG88+BG89</f>
        <v>86.6515472755283</v>
      </c>
      <c r="BH85" s="37"/>
      <c r="BI85" s="38">
        <f>BI86+BI87+BI88+BI89</f>
        <v>80.8690544930744</v>
      </c>
      <c r="BJ85" s="37"/>
      <c r="BK85" s="38">
        <f>BK86+BK87+BK88+BK89</f>
        <v>90.462810232975</v>
      </c>
      <c r="BL85" s="37"/>
      <c r="BM85" s="38">
        <f>BM86+BM87+BM88+BM89</f>
        <v>78.3532632927268</v>
      </c>
      <c r="BN85" s="37"/>
      <c r="BO85" s="38">
        <f>BO86+BO87+BO88+BO89</f>
        <v>83.3472762796722</v>
      </c>
      <c r="BP85" s="37"/>
      <c r="BQ85" s="38">
        <f>BQ86+BQ87+BQ88+BQ89</f>
        <v>78.9250416231324</v>
      </c>
      <c r="BR85" s="37"/>
      <c r="BS85" s="38">
        <f>BS86+BS87+BS88+BS89</f>
        <v>74.5510376515387</v>
      </c>
      <c r="BT85" s="37"/>
      <c r="BU85" s="38">
        <f t="shared" si="72"/>
        <v>1008.63187395681</v>
      </c>
      <c r="BV85" s="37"/>
      <c r="BW85" s="39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</row>
    <row r="86" s="14" customFormat="1" ht="27" customHeight="1" spans="1:88">
      <c r="A86" s="45"/>
      <c r="B86" s="34" t="s">
        <v>294</v>
      </c>
      <c r="C86" s="35">
        <f>班线包车!C54</f>
        <v>3.0068</v>
      </c>
      <c r="D86" s="36">
        <f t="shared" si="61"/>
        <v>-0.50232550441101</v>
      </c>
      <c r="E86" s="35">
        <f>班线包车!E54</f>
        <v>3.7154</v>
      </c>
      <c r="F86" s="36">
        <f t="shared" si="62"/>
        <v>-0.383683896224537</v>
      </c>
      <c r="G86" s="35">
        <f>班线包车!G54</f>
        <v>3.4623</v>
      </c>
      <c r="H86" s="36">
        <f t="shared" si="63"/>
        <v>-0.44355694127479</v>
      </c>
      <c r="I86" s="35">
        <f>班线包车!I54</f>
        <v>4.4253</v>
      </c>
      <c r="J86" s="36">
        <f t="shared" si="64"/>
        <v>-0.315562360801782</v>
      </c>
      <c r="K86" s="35">
        <f>班线包车!K54</f>
        <v>4.3403</v>
      </c>
      <c r="L86" s="36">
        <f t="shared" si="65"/>
        <v>-0.261351259360109</v>
      </c>
      <c r="M86" s="35">
        <f>班线包车!M54</f>
        <v>4.3662</v>
      </c>
      <c r="N86" s="36">
        <f t="shared" si="66"/>
        <v>-0.195066644543996</v>
      </c>
      <c r="O86" s="35">
        <f>班线包车!O54</f>
        <v>4.9799</v>
      </c>
      <c r="P86" s="36">
        <f t="shared" si="67"/>
        <v>-0.072125954909633</v>
      </c>
      <c r="Q86" s="127"/>
      <c r="R86" s="127"/>
      <c r="S86" s="131">
        <f t="shared" si="68"/>
        <v>28.2962</v>
      </c>
      <c r="T86" s="132">
        <f t="shared" si="69"/>
        <v>-0.394982167751426</v>
      </c>
      <c r="U86" s="36"/>
      <c r="V86" s="35">
        <f>班线包车!V54</f>
        <v>6.0417</v>
      </c>
      <c r="W86" s="36">
        <f t="shared" si="73"/>
        <v>-0.655104895104895</v>
      </c>
      <c r="X86" s="35">
        <f>班线包车!X54</f>
        <v>6.0284</v>
      </c>
      <c r="Y86" s="36">
        <f t="shared" si="74"/>
        <v>-0.697798809923653</v>
      </c>
      <c r="Z86" s="35">
        <f>班线包车!Z54</f>
        <v>6.2222</v>
      </c>
      <c r="AA86" s="36">
        <f t="shared" si="75"/>
        <v>-0.631937912962207</v>
      </c>
      <c r="AB86" s="35">
        <f>班线包车!AB54</f>
        <v>6.4656</v>
      </c>
      <c r="AC86" s="36">
        <f t="shared" si="76"/>
        <v>-0.436504823907757</v>
      </c>
      <c r="AD86" s="35">
        <f>班线包车!AD54</f>
        <v>5.876</v>
      </c>
      <c r="AE86" s="36">
        <f t="shared" si="77"/>
        <v>-0.490589428603629</v>
      </c>
      <c r="AF86" s="35">
        <f>班线包车!AF54</f>
        <v>5.4243</v>
      </c>
      <c r="AG86" s="36">
        <f t="shared" si="78"/>
        <v>-0.457173736827884</v>
      </c>
      <c r="AH86" s="35">
        <f>班线包车!AH54</f>
        <v>5.367</v>
      </c>
      <c r="AI86" s="36">
        <f t="shared" si="79"/>
        <v>-0.467390441409971</v>
      </c>
      <c r="AJ86" s="35">
        <f>班线包车!AJ54</f>
        <v>5.344</v>
      </c>
      <c r="AK86" s="36">
        <f t="shared" si="80"/>
        <v>-0.471377840206542</v>
      </c>
      <c r="AL86" s="35">
        <f>班线包车!AL54</f>
        <v>5.0093</v>
      </c>
      <c r="AM86" s="36">
        <f t="shared" si="81"/>
        <v>-0.446651275310128</v>
      </c>
      <c r="AN86" s="35">
        <f>班线包车!AN54</f>
        <v>4.5789</v>
      </c>
      <c r="AO86" s="36">
        <f t="shared" si="82"/>
        <v>-0.489668316169587</v>
      </c>
      <c r="AP86" s="35">
        <f>班线包车!AP54</f>
        <v>4.2379</v>
      </c>
      <c r="AQ86" s="36">
        <f t="shared" si="83"/>
        <v>-0.512913050974082</v>
      </c>
      <c r="AR86" s="35">
        <f>班线包车!AR54</f>
        <v>3.6481</v>
      </c>
      <c r="AS86" s="36">
        <f t="shared" si="84"/>
        <v>-0.319600126825447</v>
      </c>
      <c r="AT86" s="35">
        <f t="shared" si="70"/>
        <v>64.2434</v>
      </c>
      <c r="AU86" s="36">
        <f t="shared" si="71"/>
        <v>-0.539955974455445</v>
      </c>
      <c r="AV86" s="37"/>
      <c r="AW86" s="35">
        <v>17.5175</v>
      </c>
      <c r="AX86" s="36"/>
      <c r="AY86" s="35">
        <v>19.9483</v>
      </c>
      <c r="AZ86" s="36"/>
      <c r="BA86" s="35">
        <v>16.9053</v>
      </c>
      <c r="BB86" s="36"/>
      <c r="BC86" s="35">
        <v>11.4741</v>
      </c>
      <c r="BD86" s="36"/>
      <c r="BE86" s="35">
        <v>11.5349</v>
      </c>
      <c r="BF86" s="36"/>
      <c r="BG86" s="35">
        <v>9.9927</v>
      </c>
      <c r="BH86" s="36"/>
      <c r="BI86" s="35">
        <v>10.0768</v>
      </c>
      <c r="BJ86" s="36"/>
      <c r="BK86" s="35">
        <v>10.1093</v>
      </c>
      <c r="BL86" s="36"/>
      <c r="BM86" s="35">
        <v>9.0527</v>
      </c>
      <c r="BN86" s="36"/>
      <c r="BO86" s="35">
        <v>8.9724</v>
      </c>
      <c r="BP86" s="36"/>
      <c r="BQ86" s="35">
        <v>8.7005</v>
      </c>
      <c r="BR86" s="36"/>
      <c r="BS86" s="35">
        <v>5.3617</v>
      </c>
      <c r="BT86" s="36"/>
      <c r="BU86" s="35">
        <f t="shared" si="72"/>
        <v>139.6462</v>
      </c>
      <c r="BV86" s="36"/>
      <c r="BW86" s="40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7"/>
    </row>
    <row r="87" s="14" customFormat="1" ht="27" customHeight="1" spans="1:88">
      <c r="A87" s="45"/>
      <c r="B87" s="34" t="s">
        <v>295</v>
      </c>
      <c r="C87" s="35">
        <f>公交!C69-公交!C71</f>
        <v>54.9</v>
      </c>
      <c r="D87" s="36">
        <f t="shared" si="61"/>
        <v>0.139240506329114</v>
      </c>
      <c r="E87" s="35">
        <f>公交!E69-公交!E71</f>
        <v>66.1</v>
      </c>
      <c r="F87" s="36">
        <f t="shared" si="62"/>
        <v>-0.108924238339175</v>
      </c>
      <c r="G87" s="35">
        <f>公交!G69-公交!G71</f>
        <v>60.75</v>
      </c>
      <c r="H87" s="36">
        <f t="shared" si="63"/>
        <v>-0.111452391399737</v>
      </c>
      <c r="I87" s="35">
        <f>公交!I69-公交!I71</f>
        <v>62.15</v>
      </c>
      <c r="J87" s="36">
        <f t="shared" si="64"/>
        <v>-0.0647103085026333</v>
      </c>
      <c r="K87" s="35">
        <f>公交!K69-公交!K71</f>
        <v>64.48</v>
      </c>
      <c r="L87" s="36">
        <f t="shared" si="65"/>
        <v>-0.0684773186940194</v>
      </c>
      <c r="M87" s="35">
        <f>公交!M69-公交!M71</f>
        <v>63.16</v>
      </c>
      <c r="N87" s="36">
        <f t="shared" si="66"/>
        <v>0.0393286160934672</v>
      </c>
      <c r="O87" s="35">
        <f>公交!O69-公交!O71</f>
        <v>57.84</v>
      </c>
      <c r="P87" s="36">
        <f t="shared" si="67"/>
        <v>0.0323041227913616</v>
      </c>
      <c r="Q87" s="127"/>
      <c r="R87" s="127"/>
      <c r="S87" s="131">
        <f t="shared" si="68"/>
        <v>429.38</v>
      </c>
      <c r="T87" s="132">
        <f t="shared" si="69"/>
        <v>-0.137617995581442</v>
      </c>
      <c r="U87" s="36"/>
      <c r="V87" s="35">
        <f>公交!V69-公交!V71</f>
        <v>48.19</v>
      </c>
      <c r="W87" s="36">
        <f t="shared" si="73"/>
        <v>0.0115449202350968</v>
      </c>
      <c r="X87" s="35">
        <f>公交!X69-公交!X71</f>
        <v>74.18</v>
      </c>
      <c r="Y87" s="36">
        <f t="shared" si="74"/>
        <v>0.691290469676243</v>
      </c>
      <c r="Z87" s="35">
        <f>公交!Z69-公交!Z71</f>
        <v>68.37</v>
      </c>
      <c r="AA87" s="36">
        <f t="shared" si="75"/>
        <v>0.77170251360456</v>
      </c>
      <c r="AB87" s="35">
        <f>公交!AB69-公交!AB71</f>
        <v>66.45</v>
      </c>
      <c r="AC87" s="36">
        <f t="shared" si="76"/>
        <v>0.681427125506072</v>
      </c>
      <c r="AD87" s="35">
        <f>公交!AD69-公交!AD71</f>
        <v>69.22</v>
      </c>
      <c r="AE87" s="36">
        <f t="shared" si="77"/>
        <v>0.691180063523088</v>
      </c>
      <c r="AF87" s="35">
        <f>公交!AF69-公交!AF71</f>
        <v>60.77</v>
      </c>
      <c r="AG87" s="36">
        <f t="shared" si="78"/>
        <v>0.466103739445114</v>
      </c>
      <c r="AH87" s="35">
        <f>公交!AH69-公交!AH71</f>
        <v>56.03</v>
      </c>
      <c r="AI87" s="36">
        <f t="shared" si="79"/>
        <v>0.362597276264592</v>
      </c>
      <c r="AJ87" s="35">
        <f>公交!AJ69-公交!AJ71</f>
        <v>54.69</v>
      </c>
      <c r="AK87" s="36">
        <f t="shared" si="80"/>
        <v>0.348705302096178</v>
      </c>
      <c r="AL87" s="35">
        <f>公交!AL69-公交!AL71</f>
        <v>52.76</v>
      </c>
      <c r="AM87" s="36">
        <f t="shared" si="81"/>
        <v>0.282450170150705</v>
      </c>
      <c r="AN87" s="35">
        <f>公交!AN69-公交!AN71</f>
        <v>56.11</v>
      </c>
      <c r="AO87" s="36">
        <f t="shared" si="82"/>
        <v>0.268882858435097</v>
      </c>
      <c r="AP87" s="35">
        <f>公交!AP69-公交!AP71</f>
        <v>50.73</v>
      </c>
      <c r="AQ87" s="36">
        <f t="shared" si="83"/>
        <v>0.201278711816244</v>
      </c>
      <c r="AR87" s="35">
        <f>公交!AR69-公交!AR71</f>
        <v>50.42</v>
      </c>
      <c r="AS87" s="36">
        <f t="shared" si="84"/>
        <v>0.170924291686019</v>
      </c>
      <c r="AT87" s="35">
        <f t="shared" si="70"/>
        <v>707.92</v>
      </c>
      <c r="AU87" s="36">
        <f t="shared" si="71"/>
        <v>0.403739763240864</v>
      </c>
      <c r="AV87" s="37"/>
      <c r="AW87" s="35">
        <v>47.64</v>
      </c>
      <c r="AX87" s="36"/>
      <c r="AY87" s="35">
        <v>43.86</v>
      </c>
      <c r="AZ87" s="36"/>
      <c r="BA87" s="35">
        <v>38.59</v>
      </c>
      <c r="BB87" s="36"/>
      <c r="BC87" s="35">
        <v>39.52</v>
      </c>
      <c r="BD87" s="36"/>
      <c r="BE87" s="35">
        <v>40.93</v>
      </c>
      <c r="BF87" s="36"/>
      <c r="BG87" s="35">
        <v>41.45</v>
      </c>
      <c r="BH87" s="36"/>
      <c r="BI87" s="35">
        <v>41.12</v>
      </c>
      <c r="BJ87" s="36"/>
      <c r="BK87" s="35">
        <v>40.55</v>
      </c>
      <c r="BL87" s="36"/>
      <c r="BM87" s="35">
        <v>41.14</v>
      </c>
      <c r="BN87" s="36"/>
      <c r="BO87" s="35">
        <v>44.22</v>
      </c>
      <c r="BP87" s="36"/>
      <c r="BQ87" s="35">
        <v>42.23</v>
      </c>
      <c r="BR87" s="36"/>
      <c r="BS87" s="35">
        <v>43.06</v>
      </c>
      <c r="BT87" s="36"/>
      <c r="BU87" s="35">
        <f t="shared" si="72"/>
        <v>504.31</v>
      </c>
      <c r="BV87" s="36"/>
      <c r="BW87" s="40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7"/>
    </row>
    <row r="88" s="14" customFormat="1" ht="27" customHeight="1" spans="1:88">
      <c r="A88" s="45"/>
      <c r="B88" s="34" t="s">
        <v>296</v>
      </c>
      <c r="C88" s="35">
        <f>出租!C69-出租!C71</f>
        <v>20.7</v>
      </c>
      <c r="D88" s="36">
        <f t="shared" si="61"/>
        <v>-0.0100430416068867</v>
      </c>
      <c r="E88" s="35">
        <f>出租!E69-出租!E71</f>
        <v>21.66</v>
      </c>
      <c r="F88" s="36">
        <f t="shared" si="62"/>
        <v>0.0617647058823525</v>
      </c>
      <c r="G88" s="35">
        <f>出租!G69-出租!G71</f>
        <v>20.37</v>
      </c>
      <c r="H88" s="36">
        <f t="shared" si="63"/>
        <v>-0.0276849642004776</v>
      </c>
      <c r="I88" s="35">
        <f>出租!I69-出租!I71</f>
        <v>20.05</v>
      </c>
      <c r="J88" s="36">
        <f t="shared" si="64"/>
        <v>-0.0123152709359606</v>
      </c>
      <c r="K88" s="35">
        <f>出租!K69-出租!K71</f>
        <v>20.6</v>
      </c>
      <c r="L88" s="36">
        <f t="shared" si="65"/>
        <v>-0.0223065970574275</v>
      </c>
      <c r="M88" s="35">
        <f>出租!M69-出租!M71</f>
        <v>17.43</v>
      </c>
      <c r="N88" s="36">
        <f t="shared" si="66"/>
        <v>-0.0811808118081184</v>
      </c>
      <c r="O88" s="35">
        <f>出租!O69-出租!O71</f>
        <v>17.4</v>
      </c>
      <c r="P88" s="36">
        <f t="shared" si="67"/>
        <v>-0.100775193798449</v>
      </c>
      <c r="Q88" s="127"/>
      <c r="R88" s="127"/>
      <c r="S88" s="131">
        <f t="shared" si="68"/>
        <v>138.21</v>
      </c>
      <c r="T88" s="132">
        <f t="shared" si="69"/>
        <v>-0.143096286192572</v>
      </c>
      <c r="U88" s="36"/>
      <c r="V88" s="35">
        <f>出租!V69-出租!V71</f>
        <v>20.91</v>
      </c>
      <c r="W88" s="36">
        <f t="shared" si="73"/>
        <v>-0.0337338262476896</v>
      </c>
      <c r="X88" s="35">
        <f>出租!X69-出租!X71</f>
        <v>20.4</v>
      </c>
      <c r="Y88" s="36">
        <f t="shared" si="74"/>
        <v>-0.157372986369269</v>
      </c>
      <c r="Z88" s="35">
        <f>出租!Z69-出租!Z71</f>
        <v>20.95</v>
      </c>
      <c r="AA88" s="36">
        <f t="shared" si="75"/>
        <v>-0.00522317188983834</v>
      </c>
      <c r="AB88" s="35">
        <f>出租!AB69-出租!AB71</f>
        <v>20.3</v>
      </c>
      <c r="AC88" s="36">
        <f t="shared" si="76"/>
        <v>-0.00343642611683836</v>
      </c>
      <c r="AD88" s="35">
        <f>出租!AD69-出租!AD71</f>
        <v>21.07</v>
      </c>
      <c r="AE88" s="36">
        <f t="shared" si="77"/>
        <v>0.000474833808167263</v>
      </c>
      <c r="AF88" s="35">
        <f>出租!AF69-出租!AF71</f>
        <v>18.97</v>
      </c>
      <c r="AG88" s="36">
        <f t="shared" si="78"/>
        <v>0.0423076923076926</v>
      </c>
      <c r="AH88" s="35">
        <f>出租!AH69-出租!AH71</f>
        <v>19.35</v>
      </c>
      <c r="AI88" s="36">
        <f t="shared" si="79"/>
        <v>0.0200316288877171</v>
      </c>
      <c r="AJ88" s="35">
        <f>出租!AJ69-出租!AJ71</f>
        <v>19.34</v>
      </c>
      <c r="AK88" s="36">
        <f t="shared" si="80"/>
        <v>0.0276301806588732</v>
      </c>
      <c r="AL88" s="35">
        <f>出租!AL69-出租!AL71</f>
        <v>18.69</v>
      </c>
      <c r="AM88" s="36">
        <f t="shared" si="81"/>
        <v>-0.0173501577287067</v>
      </c>
      <c r="AN88" s="35">
        <f>出租!AN69-出租!AN71</f>
        <v>20.46</v>
      </c>
      <c r="AO88" s="36">
        <f t="shared" si="82"/>
        <v>-0.00920096852300234</v>
      </c>
      <c r="AP88" s="35">
        <f>出租!AP69-出租!AP71</f>
        <v>18.35</v>
      </c>
      <c r="AQ88" s="36">
        <f t="shared" si="83"/>
        <v>-0.0123789020452093</v>
      </c>
      <c r="AR88" s="35">
        <f>出租!AR69-出租!AR71</f>
        <v>17.46</v>
      </c>
      <c r="AS88" s="36">
        <f t="shared" si="84"/>
        <v>0.0871731008717307</v>
      </c>
      <c r="AT88" s="35">
        <f t="shared" si="70"/>
        <v>236.25</v>
      </c>
      <c r="AU88" s="36">
        <f t="shared" si="71"/>
        <v>-0.0100150854844117</v>
      </c>
      <c r="AV88" s="37"/>
      <c r="AW88" s="35">
        <v>21.64</v>
      </c>
      <c r="AX88" s="36"/>
      <c r="AY88" s="35">
        <v>24.21</v>
      </c>
      <c r="AZ88" s="36"/>
      <c r="BA88" s="35">
        <v>21.06</v>
      </c>
      <c r="BB88" s="36"/>
      <c r="BC88" s="35">
        <v>20.37</v>
      </c>
      <c r="BD88" s="36"/>
      <c r="BE88" s="35">
        <v>21.06</v>
      </c>
      <c r="BF88" s="36"/>
      <c r="BG88" s="35">
        <v>18.2</v>
      </c>
      <c r="BH88" s="36"/>
      <c r="BI88" s="35">
        <v>18.97</v>
      </c>
      <c r="BJ88" s="36"/>
      <c r="BK88" s="35">
        <v>18.82</v>
      </c>
      <c r="BL88" s="36"/>
      <c r="BM88" s="35">
        <v>19.02</v>
      </c>
      <c r="BN88" s="36"/>
      <c r="BO88" s="35">
        <v>20.65</v>
      </c>
      <c r="BP88" s="36"/>
      <c r="BQ88" s="35">
        <v>18.58</v>
      </c>
      <c r="BR88" s="36"/>
      <c r="BS88" s="35">
        <v>16.06</v>
      </c>
      <c r="BT88" s="36"/>
      <c r="BU88" s="35">
        <f t="shared" si="72"/>
        <v>238.64</v>
      </c>
      <c r="BV88" s="36"/>
      <c r="BW88" s="40"/>
      <c r="BX88" s="49"/>
      <c r="BY88" s="49"/>
      <c r="BZ88" s="49"/>
      <c r="CA88" s="49"/>
      <c r="CB88" s="49"/>
      <c r="CC88" s="49"/>
      <c r="CD88" s="50"/>
      <c r="CE88" s="49"/>
      <c r="CF88" s="50"/>
      <c r="CG88" s="50"/>
      <c r="CH88" s="50"/>
      <c r="CI88" s="50"/>
      <c r="CJ88" s="47"/>
    </row>
    <row r="89" s="14" customFormat="1" ht="27" customHeight="1" spans="1:88">
      <c r="A89" s="29"/>
      <c r="B89" s="34" t="s">
        <v>297</v>
      </c>
      <c r="C89" s="35">
        <f>网约车!C69-网约车!C71</f>
        <v>17.6522227928098</v>
      </c>
      <c r="D89" s="36">
        <f t="shared" si="61"/>
        <v>9.08878343786942</v>
      </c>
      <c r="E89" s="35">
        <f>网约车!E69-网约车!E71</f>
        <v>16.2625167053826</v>
      </c>
      <c r="F89" s="36">
        <f t="shared" si="62"/>
        <v>6.3798656568005</v>
      </c>
      <c r="G89" s="35">
        <f>网约车!G69-网约车!G71</f>
        <v>15.6731475967885</v>
      </c>
      <c r="H89" s="36">
        <f t="shared" si="63"/>
        <v>2.27189039912248</v>
      </c>
      <c r="I89" s="35">
        <f>网约车!I69-网约车!I71</f>
        <v>15.324207548101</v>
      </c>
      <c r="J89" s="36">
        <f t="shared" si="64"/>
        <v>3.89529569086692</v>
      </c>
      <c r="K89" s="35">
        <f>网约车!K69-网约车!K71</f>
        <v>16.5094121068159</v>
      </c>
      <c r="L89" s="36">
        <f t="shared" si="65"/>
        <v>3.17889033217085</v>
      </c>
      <c r="M89" s="35">
        <f>网约车!M69-网约车!M71</f>
        <v>16.8204214972972</v>
      </c>
      <c r="N89" s="36">
        <f t="shared" si="66"/>
        <v>2.93728771240539</v>
      </c>
      <c r="O89" s="35">
        <f>网约车!O69-网约车!O71</f>
        <v>18.1896249978276</v>
      </c>
      <c r="P89" s="36">
        <f t="shared" si="67"/>
        <v>2.32905865940113</v>
      </c>
      <c r="Q89" s="127"/>
      <c r="R89" s="127"/>
      <c r="S89" s="131">
        <f t="shared" si="68"/>
        <v>116.431553245023</v>
      </c>
      <c r="T89" s="132">
        <f t="shared" si="69"/>
        <v>2.7101170244</v>
      </c>
      <c r="U89" s="36"/>
      <c r="V89" s="35">
        <f>网约车!V69-网约车!V71</f>
        <v>1.74968794815737</v>
      </c>
      <c r="W89" s="36">
        <f t="shared" si="73"/>
        <v>-0.829520756039132</v>
      </c>
      <c r="X89" s="35">
        <f>网约车!X69-网约车!X71</f>
        <v>2.20363316375506</v>
      </c>
      <c r="Y89" s="36">
        <f t="shared" si="74"/>
        <v>-0.565107974868751</v>
      </c>
      <c r="Z89" s="35">
        <f>网约车!Z69-网约车!Z71</f>
        <v>4.7902422406912</v>
      </c>
      <c r="AA89" s="36">
        <f t="shared" si="75"/>
        <v>-0.355066941259488</v>
      </c>
      <c r="AB89" s="35">
        <f>网约车!AB69-网约车!AB71</f>
        <v>3.13039467190739</v>
      </c>
      <c r="AC89" s="36">
        <f t="shared" si="76"/>
        <v>-0.607222431894495</v>
      </c>
      <c r="AD89" s="35">
        <f>网约车!AD69-网约车!AD71</f>
        <v>3.95066890837491</v>
      </c>
      <c r="AE89" s="36">
        <f t="shared" si="77"/>
        <v>-0.534334409491184</v>
      </c>
      <c r="AF89" s="35">
        <f>网约车!AF69-网约车!AF71</f>
        <v>4.2720834051066</v>
      </c>
      <c r="AG89" s="36">
        <f t="shared" si="78"/>
        <v>-0.748831691183852</v>
      </c>
      <c r="AH89" s="35">
        <f>网约车!AH69-网约车!AH71</f>
        <v>5.4638944094484</v>
      </c>
      <c r="AI89" s="36">
        <f t="shared" si="79"/>
        <v>-0.48946323291189</v>
      </c>
      <c r="AJ89" s="35">
        <f>网约车!AJ69-网约车!AJ71</f>
        <v>5.8215733561869</v>
      </c>
      <c r="AK89" s="36">
        <f t="shared" si="80"/>
        <v>-0.722564371187121</v>
      </c>
      <c r="AL89" s="35">
        <f>网约车!AL69-网约车!AL71</f>
        <v>4.9531652709919</v>
      </c>
      <c r="AM89" s="36">
        <f t="shared" si="81"/>
        <v>-0.458111594180067</v>
      </c>
      <c r="AN89" s="35">
        <f>网约车!AN69-网约车!AN71</f>
        <v>6.8045820794609</v>
      </c>
      <c r="AO89" s="36">
        <f t="shared" si="82"/>
        <v>-0.284095670554528</v>
      </c>
      <c r="AP89" s="35">
        <f>网约车!AP69-网约车!AP71</f>
        <v>9.3208287586704</v>
      </c>
      <c r="AQ89" s="36">
        <f t="shared" si="83"/>
        <v>-0.00995405493048085</v>
      </c>
      <c r="AR89" s="35">
        <f>网约车!AR69-网约车!AR71</f>
        <v>14.7722890973365</v>
      </c>
      <c r="AS89" s="36">
        <f t="shared" si="84"/>
        <v>0.467056683224754</v>
      </c>
      <c r="AT89" s="35">
        <f t="shared" si="70"/>
        <v>67.2330433100875</v>
      </c>
      <c r="AU89" s="36">
        <f t="shared" si="71"/>
        <v>-0.466555450537549</v>
      </c>
      <c r="AV89" s="37"/>
      <c r="AW89" s="35">
        <v>10.263348824793</v>
      </c>
      <c r="AX89" s="36"/>
      <c r="AY89" s="35">
        <v>5.06708110614355</v>
      </c>
      <c r="AZ89" s="36"/>
      <c r="BA89" s="35">
        <v>7.42750301875679</v>
      </c>
      <c r="BB89" s="36"/>
      <c r="BC89" s="35">
        <v>7.96989167942129</v>
      </c>
      <c r="BD89" s="36"/>
      <c r="BE89" s="35">
        <v>8.48391847904879</v>
      </c>
      <c r="BF89" s="36"/>
      <c r="BG89" s="35">
        <v>17.0088472755283</v>
      </c>
      <c r="BH89" s="36"/>
      <c r="BI89" s="35">
        <v>10.7022544930744</v>
      </c>
      <c r="BJ89" s="36"/>
      <c r="BK89" s="35">
        <v>20.983510232975</v>
      </c>
      <c r="BL89" s="36"/>
      <c r="BM89" s="35">
        <v>9.14056329272676</v>
      </c>
      <c r="BN89" s="36"/>
      <c r="BO89" s="35">
        <v>9.5048762796722</v>
      </c>
      <c r="BP89" s="36"/>
      <c r="BQ89" s="35">
        <v>9.41454162313236</v>
      </c>
      <c r="BR89" s="36"/>
      <c r="BS89" s="35">
        <v>10.0693376515387</v>
      </c>
      <c r="BT89" s="36"/>
      <c r="BU89" s="35">
        <f t="shared" si="72"/>
        <v>126.035673956811</v>
      </c>
      <c r="BV89" s="36"/>
      <c r="BW89" s="40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7"/>
    </row>
    <row r="90" s="13" customFormat="1" ht="27" customHeight="1" spans="1:88">
      <c r="A90" s="48" t="s">
        <v>112</v>
      </c>
      <c r="B90" s="34" t="s">
        <v>293</v>
      </c>
      <c r="C90" s="35">
        <f>C91+C92+C93+C94</f>
        <v>9.3714588900758</v>
      </c>
      <c r="D90" s="36">
        <f t="shared" si="61"/>
        <v>-0.217158043895846</v>
      </c>
      <c r="E90" s="35">
        <f>E91+E92+E93+E94</f>
        <v>18.7132162799179</v>
      </c>
      <c r="F90" s="36">
        <f t="shared" si="62"/>
        <v>0.819976601764179</v>
      </c>
      <c r="G90" s="35">
        <f>G91+G92+G93+G94</f>
        <v>5.78746238470154</v>
      </c>
      <c r="H90" s="36">
        <f t="shared" si="63"/>
        <v>-0.0847893393296658</v>
      </c>
      <c r="I90" s="35">
        <f>I91+I92+I93+I94</f>
        <v>8.23542662260639</v>
      </c>
      <c r="J90" s="36">
        <f t="shared" si="64"/>
        <v>-0.290924907491465</v>
      </c>
      <c r="K90" s="35">
        <f>K91+K92+K93+K94</f>
        <v>10.4692296959543</v>
      </c>
      <c r="L90" s="36">
        <f t="shared" si="65"/>
        <v>-0.214852890723442</v>
      </c>
      <c r="M90" s="35">
        <f>M91+M92+M93+M94</f>
        <v>6.6996365440591</v>
      </c>
      <c r="N90" s="36">
        <f t="shared" si="66"/>
        <v>-0.333766658727013</v>
      </c>
      <c r="O90" s="35">
        <f>O91+O92+O93+O94</f>
        <v>8.15942133037006</v>
      </c>
      <c r="P90" s="36">
        <f t="shared" si="67"/>
        <v>-0.660960439988817</v>
      </c>
      <c r="Q90" s="127"/>
      <c r="R90" s="127"/>
      <c r="S90" s="131">
        <f t="shared" si="68"/>
        <v>67.4358517476851</v>
      </c>
      <c r="T90" s="132">
        <f t="shared" si="69"/>
        <v>-0.42280516409478</v>
      </c>
      <c r="U90" s="36"/>
      <c r="V90" s="35">
        <f>V91+V92+V93+V94</f>
        <v>11.9710738764096</v>
      </c>
      <c r="W90" s="36">
        <f t="shared" si="73"/>
        <v>0.424082419208441</v>
      </c>
      <c r="X90" s="35">
        <f>X91+X92+X93+X94</f>
        <v>10.282119155696</v>
      </c>
      <c r="Y90" s="36">
        <f t="shared" si="74"/>
        <v>-0.000600841973017574</v>
      </c>
      <c r="Z90" s="35">
        <f>Z91+Z92+Z93+Z94</f>
        <v>6.32363960933605</v>
      </c>
      <c r="AA90" s="36">
        <f t="shared" si="75"/>
        <v>0.275921506327973</v>
      </c>
      <c r="AB90" s="35">
        <f>AB91+AB92+AB93+AB94</f>
        <v>11.6143222482565</v>
      </c>
      <c r="AC90" s="36">
        <f t="shared" si="76"/>
        <v>0.424454742172972</v>
      </c>
      <c r="AD90" s="35">
        <f>AD91+AD92+AD93+AD94</f>
        <v>13.3340995238469</v>
      </c>
      <c r="AE90" s="36">
        <f t="shared" si="77"/>
        <v>0.210799840574393</v>
      </c>
      <c r="AF90" s="35">
        <f>AF91+AF92+AF93+AF94</f>
        <v>10.0559910905359</v>
      </c>
      <c r="AG90" s="36">
        <f t="shared" si="78"/>
        <v>0.0894259639126616</v>
      </c>
      <c r="AH90" s="35">
        <f>AH91+AH92+AH93+AH94</f>
        <v>24.0662810266181</v>
      </c>
      <c r="AI90" s="36">
        <f t="shared" si="79"/>
        <v>0.293394439909668</v>
      </c>
      <c r="AJ90" s="35">
        <f>AJ91+AJ92+AJ93+AJ94</f>
        <v>29.1862487436847</v>
      </c>
      <c r="AK90" s="36">
        <f t="shared" si="80"/>
        <v>-0.144808585864407</v>
      </c>
      <c r="AL90" s="35">
        <f>AL91+AL92+AL93+AL94</f>
        <v>9.34942597271939</v>
      </c>
      <c r="AM90" s="36">
        <f t="shared" si="81"/>
        <v>0.0720623623768941</v>
      </c>
      <c r="AN90" s="35">
        <f>AN91+AN92+AN93+AN94</f>
        <v>9.91893813358054</v>
      </c>
      <c r="AO90" s="36">
        <f t="shared" si="82"/>
        <v>-0.249551617900514</v>
      </c>
      <c r="AP90" s="35">
        <f>AP91+AP92+AP93+AP94</f>
        <v>6.80424983746689</v>
      </c>
      <c r="AQ90" s="36">
        <f t="shared" si="83"/>
        <v>0.261450800818898</v>
      </c>
      <c r="AR90" s="35">
        <f>AR91+AR92+AR93+AR94</f>
        <v>5.84102333672965</v>
      </c>
      <c r="AS90" s="36">
        <f t="shared" si="84"/>
        <v>0.0946722620767011</v>
      </c>
      <c r="AT90" s="35">
        <f t="shared" si="70"/>
        <v>148.74741255488</v>
      </c>
      <c r="AU90" s="36">
        <f t="shared" si="71"/>
        <v>0.0821860476789158</v>
      </c>
      <c r="AV90" s="37"/>
      <c r="AW90" s="38">
        <f>AW91+AW92+AW93+AW94</f>
        <v>8.40616646546591</v>
      </c>
      <c r="AX90" s="37"/>
      <c r="AY90" s="38">
        <f>AY91+AY92+AY93+AY94</f>
        <v>10.2883007986468</v>
      </c>
      <c r="AZ90" s="37"/>
      <c r="BA90" s="38">
        <f>BA91+BA92+BA93+BA94</f>
        <v>4.95613529356921</v>
      </c>
      <c r="BB90" s="37"/>
      <c r="BC90" s="38">
        <f>BC91+BC92+BC93+BC94</f>
        <v>8.15352141728216</v>
      </c>
      <c r="BD90" s="37"/>
      <c r="BE90" s="38">
        <f>BE91+BE92+BE93+BE94</f>
        <v>11.0126373303133</v>
      </c>
      <c r="BF90" s="37"/>
      <c r="BG90" s="38">
        <f>BG91+BG92+BG93+BG94</f>
        <v>9.23054105890765</v>
      </c>
      <c r="BH90" s="37"/>
      <c r="BI90" s="38">
        <f>BI91+BI92+BI93+BI94</f>
        <v>18.6070701125782</v>
      </c>
      <c r="BJ90" s="37"/>
      <c r="BK90" s="38">
        <f>BK91+BK92+BK93+BK94</f>
        <v>34.1283229242724</v>
      </c>
      <c r="BL90" s="37"/>
      <c r="BM90" s="38">
        <f>BM91+BM92+BM93+BM94</f>
        <v>8.72097211956081</v>
      </c>
      <c r="BN90" s="37"/>
      <c r="BO90" s="38">
        <f>BO91+BO92+BO93+BO94</f>
        <v>13.2173489478795</v>
      </c>
      <c r="BP90" s="37"/>
      <c r="BQ90" s="38">
        <f>BQ91+BQ92+BQ93+BQ94</f>
        <v>5.39398748888959</v>
      </c>
      <c r="BR90" s="37"/>
      <c r="BS90" s="38">
        <f>BS91+BS92+BS93+BS94</f>
        <v>5.33586493335334</v>
      </c>
      <c r="BT90" s="37"/>
      <c r="BU90" s="38">
        <f t="shared" si="72"/>
        <v>137.450868890719</v>
      </c>
      <c r="BV90" s="37"/>
      <c r="BW90" s="39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</row>
    <row r="91" s="14" customFormat="1" ht="27" customHeight="1" spans="1:88">
      <c r="A91" s="45"/>
      <c r="B91" s="34" t="s">
        <v>294</v>
      </c>
      <c r="C91" s="35">
        <f>班线包车!C56</f>
        <v>5.8705</v>
      </c>
      <c r="D91" s="36">
        <f t="shared" si="61"/>
        <v>-0.364822609090811</v>
      </c>
      <c r="E91" s="35">
        <f>班线包车!E56</f>
        <v>15.4874</v>
      </c>
      <c r="F91" s="36">
        <f t="shared" si="62"/>
        <v>1.02937784999214</v>
      </c>
      <c r="G91" s="35">
        <f>班线包车!G56</f>
        <v>2.543</v>
      </c>
      <c r="H91" s="36">
        <f t="shared" si="63"/>
        <v>-0.236129884953891</v>
      </c>
      <c r="I91" s="35">
        <f>班线包车!I56</f>
        <v>4.9911</v>
      </c>
      <c r="J91" s="36">
        <f t="shared" si="64"/>
        <v>-0.425273194154969</v>
      </c>
      <c r="K91" s="35">
        <f>班线包车!K56</f>
        <v>7.1112</v>
      </c>
      <c r="L91" s="36">
        <f t="shared" si="65"/>
        <v>-0.303151458137347</v>
      </c>
      <c r="M91" s="35">
        <f>班线包车!M56</f>
        <v>3.146</v>
      </c>
      <c r="N91" s="36">
        <f t="shared" si="66"/>
        <v>-0.548085901027078</v>
      </c>
      <c r="O91" s="35">
        <f>班线包车!O56</f>
        <v>4.3315</v>
      </c>
      <c r="P91" s="36">
        <f t="shared" si="67"/>
        <v>-0.791061695046066</v>
      </c>
      <c r="Q91" s="127"/>
      <c r="R91" s="127"/>
      <c r="S91" s="131">
        <f t="shared" si="68"/>
        <v>43.4807</v>
      </c>
      <c r="T91" s="132">
        <f t="shared" si="69"/>
        <v>-0.531482712658491</v>
      </c>
      <c r="U91" s="36"/>
      <c r="V91" s="35">
        <f>班线包车!V56</f>
        <v>9.2423</v>
      </c>
      <c r="W91" s="36">
        <f t="shared" si="73"/>
        <v>0.555733234581201</v>
      </c>
      <c r="X91" s="35">
        <f>班线包车!X56</f>
        <v>7.6316</v>
      </c>
      <c r="Y91" s="36">
        <f t="shared" si="74"/>
        <v>-0.0245910020449898</v>
      </c>
      <c r="Z91" s="35">
        <f>班线包车!Z56</f>
        <v>3.3291</v>
      </c>
      <c r="AA91" s="36">
        <f t="shared" si="75"/>
        <v>0.341189267585207</v>
      </c>
      <c r="AB91" s="35">
        <f>班线包车!AB56</f>
        <v>8.6843</v>
      </c>
      <c r="AC91" s="36">
        <f t="shared" si="76"/>
        <v>0.602358064099489</v>
      </c>
      <c r="AD91" s="35">
        <f>班线包车!AD56</f>
        <v>10.2048</v>
      </c>
      <c r="AE91" s="36">
        <f t="shared" si="77"/>
        <v>0.250818165103879</v>
      </c>
      <c r="AF91" s="35">
        <f>班线包车!AF56</f>
        <v>6.9615</v>
      </c>
      <c r="AG91" s="36">
        <f t="shared" si="78"/>
        <v>0.0655900811265879</v>
      </c>
      <c r="AH91" s="35">
        <f>班线包车!AH56</f>
        <v>20.731</v>
      </c>
      <c r="AI91" s="36">
        <f t="shared" si="79"/>
        <v>0.362420562160315</v>
      </c>
      <c r="AJ91" s="35">
        <f>班线包车!AJ56</f>
        <v>26.0203</v>
      </c>
      <c r="AK91" s="36">
        <f t="shared" si="80"/>
        <v>-0.162575068068152</v>
      </c>
      <c r="AL91" s="35">
        <f>班线包车!AL56</f>
        <v>6.3018</v>
      </c>
      <c r="AM91" s="36">
        <f t="shared" si="81"/>
        <v>0.034506533587235</v>
      </c>
      <c r="AN91" s="35">
        <f>班线包车!AN56</f>
        <v>6.5631</v>
      </c>
      <c r="AO91" s="36">
        <f t="shared" si="82"/>
        <v>-0.383393305085542</v>
      </c>
      <c r="AP91" s="35">
        <f>班线包车!AP56</f>
        <v>3.6566</v>
      </c>
      <c r="AQ91" s="36">
        <f t="shared" si="83"/>
        <v>0.287671232876712</v>
      </c>
      <c r="AR91" s="35">
        <f>班线包车!AR56</f>
        <v>2.5061</v>
      </c>
      <c r="AS91" s="36">
        <f t="shared" si="84"/>
        <v>-0.110491942926102</v>
      </c>
      <c r="AT91" s="35">
        <f t="shared" si="70"/>
        <v>111.8325</v>
      </c>
      <c r="AU91" s="36">
        <f t="shared" si="71"/>
        <v>0.0646769910956799</v>
      </c>
      <c r="AV91" s="37"/>
      <c r="AW91" s="35">
        <v>5.9408</v>
      </c>
      <c r="AX91" s="36"/>
      <c r="AY91" s="35">
        <v>7.824</v>
      </c>
      <c r="AZ91" s="36"/>
      <c r="BA91" s="35">
        <v>2.4822</v>
      </c>
      <c r="BB91" s="36"/>
      <c r="BC91" s="35">
        <v>5.4197</v>
      </c>
      <c r="BD91" s="36"/>
      <c r="BE91" s="35">
        <v>8.1585</v>
      </c>
      <c r="BF91" s="36"/>
      <c r="BG91" s="35">
        <v>6.533</v>
      </c>
      <c r="BH91" s="36"/>
      <c r="BI91" s="35">
        <v>15.2163</v>
      </c>
      <c r="BJ91" s="36"/>
      <c r="BK91" s="35">
        <v>31.0718</v>
      </c>
      <c r="BL91" s="36"/>
      <c r="BM91" s="35">
        <v>6.0916</v>
      </c>
      <c r="BN91" s="36"/>
      <c r="BO91" s="35">
        <v>10.6439</v>
      </c>
      <c r="BP91" s="36"/>
      <c r="BQ91" s="35">
        <v>2.8397</v>
      </c>
      <c r="BR91" s="36"/>
      <c r="BS91" s="35">
        <v>2.8174</v>
      </c>
      <c r="BT91" s="36"/>
      <c r="BU91" s="35">
        <f t="shared" si="72"/>
        <v>105.0389</v>
      </c>
      <c r="BV91" s="36"/>
      <c r="BW91" s="4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47"/>
    </row>
    <row r="92" s="14" customFormat="1" ht="27" customHeight="1" spans="1:88">
      <c r="A92" s="45"/>
      <c r="B92" s="34" t="s">
        <v>295</v>
      </c>
      <c r="C92" s="35">
        <f>公交!C73-公交!C75</f>
        <v>1.05</v>
      </c>
      <c r="D92" s="36">
        <f t="shared" si="61"/>
        <v>2.5</v>
      </c>
      <c r="E92" s="35">
        <f>公交!E73-公交!E75</f>
        <v>0.8</v>
      </c>
      <c r="F92" s="36">
        <f t="shared" si="62"/>
        <v>2.63636363636364</v>
      </c>
      <c r="G92" s="35">
        <f>公交!G73-公交!G75</f>
        <v>0.800000000000001</v>
      </c>
      <c r="H92" s="36">
        <f t="shared" si="63"/>
        <v>0.481481481481485</v>
      </c>
      <c r="I92" s="35">
        <f>公交!I73-公交!I75</f>
        <v>0.800000000000001</v>
      </c>
      <c r="J92" s="36">
        <f t="shared" si="64"/>
        <v>0.600000000000001</v>
      </c>
      <c r="K92" s="35">
        <f>公交!K73-公交!K75</f>
        <v>0.9</v>
      </c>
      <c r="L92" s="36">
        <f t="shared" si="65"/>
        <v>0.285714285714288</v>
      </c>
      <c r="M92" s="35">
        <f>公交!M73-公交!M75</f>
        <v>1.07</v>
      </c>
      <c r="N92" s="36">
        <f t="shared" si="66"/>
        <v>0.597014925373132</v>
      </c>
      <c r="O92" s="35">
        <f>公交!O73-公交!O75</f>
        <v>1.3</v>
      </c>
      <c r="P92" s="36">
        <f t="shared" si="67"/>
        <v>0.625000000000001</v>
      </c>
      <c r="Q92" s="127"/>
      <c r="R92" s="127"/>
      <c r="S92" s="131">
        <f t="shared" si="68"/>
        <v>6.72</v>
      </c>
      <c r="T92" s="132">
        <f t="shared" si="69"/>
        <v>0.516930022573364</v>
      </c>
      <c r="U92" s="36"/>
      <c r="V92" s="35">
        <f>公交!V73-公交!V75</f>
        <v>0.3</v>
      </c>
      <c r="W92" s="36">
        <f t="shared" si="73"/>
        <v>0.500000000000006</v>
      </c>
      <c r="X92" s="35">
        <f>公交!X73-公交!X75</f>
        <v>0.22</v>
      </c>
      <c r="Y92" s="36">
        <f t="shared" si="74"/>
        <v>0.0999999999999988</v>
      </c>
      <c r="Z92" s="35">
        <f>公交!Z73-公交!Z75</f>
        <v>0.539999999999999</v>
      </c>
      <c r="AA92" s="36">
        <f t="shared" si="75"/>
        <v>1.7</v>
      </c>
      <c r="AB92" s="35">
        <f>公交!AB73-公交!AB75</f>
        <v>0.5</v>
      </c>
      <c r="AC92" s="36">
        <f t="shared" si="76"/>
        <v>0.0416666666666667</v>
      </c>
      <c r="AD92" s="35">
        <f>公交!AD73-公交!AD75</f>
        <v>0.699999999999999</v>
      </c>
      <c r="AE92" s="36">
        <f t="shared" si="77"/>
        <v>0.166666666666666</v>
      </c>
      <c r="AF92" s="35">
        <f>公交!AF73-公交!AF75</f>
        <v>0.67</v>
      </c>
      <c r="AG92" s="36">
        <f t="shared" si="78"/>
        <v>0.488888888888892</v>
      </c>
      <c r="AH92" s="35">
        <f>公交!AH73-公交!AH75</f>
        <v>0.799999999999999</v>
      </c>
      <c r="AI92" s="36">
        <f t="shared" si="79"/>
        <v>0.269841269841266</v>
      </c>
      <c r="AJ92" s="35">
        <f>公交!AJ73-公交!AJ75</f>
        <v>0.699999999999999</v>
      </c>
      <c r="AK92" s="36">
        <f t="shared" si="80"/>
        <v>0.944444444444437</v>
      </c>
      <c r="AL92" s="35">
        <f>公交!AL73-公交!AL75</f>
        <v>0.6</v>
      </c>
      <c r="AM92" s="36">
        <f t="shared" si="81"/>
        <v>0.999999999999992</v>
      </c>
      <c r="AN92" s="35">
        <f>公交!AN73-公交!AN75</f>
        <v>0.9</v>
      </c>
      <c r="AO92" s="36">
        <f t="shared" si="82"/>
        <v>2.00000000000001</v>
      </c>
      <c r="AP92" s="35">
        <f>公交!AP73-公交!AP75</f>
        <v>0.75</v>
      </c>
      <c r="AQ92" s="36">
        <f t="shared" si="83"/>
        <v>1.88461538461538</v>
      </c>
      <c r="AR92" s="35">
        <f>公交!AR73-公交!AR75</f>
        <v>0.9</v>
      </c>
      <c r="AS92" s="36">
        <f t="shared" si="84"/>
        <v>2.00000000000001</v>
      </c>
      <c r="AT92" s="35">
        <f t="shared" si="70"/>
        <v>7.58</v>
      </c>
      <c r="AU92" s="36">
        <f t="shared" si="71"/>
        <v>0.771028037383177</v>
      </c>
      <c r="AV92" s="37"/>
      <c r="AW92" s="35">
        <v>0.199999999999999</v>
      </c>
      <c r="AX92" s="36"/>
      <c r="AY92" s="35">
        <v>0.2</v>
      </c>
      <c r="AZ92" s="36"/>
      <c r="BA92" s="35">
        <v>0.2</v>
      </c>
      <c r="BB92" s="36"/>
      <c r="BC92" s="35">
        <v>0.48</v>
      </c>
      <c r="BD92" s="36"/>
      <c r="BE92" s="35">
        <v>0.6</v>
      </c>
      <c r="BF92" s="36"/>
      <c r="BG92" s="35">
        <v>0.449999999999999</v>
      </c>
      <c r="BH92" s="36"/>
      <c r="BI92" s="35">
        <v>0.630000000000001</v>
      </c>
      <c r="BJ92" s="36"/>
      <c r="BK92" s="35">
        <v>0.360000000000001</v>
      </c>
      <c r="BL92" s="36"/>
      <c r="BM92" s="35">
        <v>0.300000000000001</v>
      </c>
      <c r="BN92" s="36"/>
      <c r="BO92" s="35">
        <v>0.299999999999999</v>
      </c>
      <c r="BP92" s="36"/>
      <c r="BQ92" s="35">
        <v>0.26</v>
      </c>
      <c r="BR92" s="36"/>
      <c r="BS92" s="35">
        <v>0.299999999999999</v>
      </c>
      <c r="BT92" s="36"/>
      <c r="BU92" s="35">
        <f t="shared" si="72"/>
        <v>4.28</v>
      </c>
      <c r="BV92" s="36"/>
      <c r="BW92" s="40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7"/>
    </row>
    <row r="93" s="14" customFormat="1" ht="27" customHeight="1" spans="1:88">
      <c r="A93" s="45"/>
      <c r="B93" s="34" t="s">
        <v>296</v>
      </c>
      <c r="C93" s="35">
        <f>出租!C73-出租!C75</f>
        <v>2.39</v>
      </c>
      <c r="D93" s="36">
        <f t="shared" si="61"/>
        <v>-0.00416666666666654</v>
      </c>
      <c r="E93" s="35">
        <f>出租!E73-出租!E75</f>
        <v>2.38</v>
      </c>
      <c r="F93" s="36">
        <f t="shared" si="62"/>
        <v>-0.00833333333333386</v>
      </c>
      <c r="G93" s="35">
        <f>出租!G73-出租!G75</f>
        <v>2.38</v>
      </c>
      <c r="H93" s="36">
        <f t="shared" si="63"/>
        <v>-0.00833333333333386</v>
      </c>
      <c r="I93" s="35">
        <f>出租!I73-出租!I75</f>
        <v>2.38</v>
      </c>
      <c r="J93" s="36">
        <f t="shared" si="64"/>
        <v>-0.00833333333333242</v>
      </c>
      <c r="K93" s="35">
        <f>出租!K73-出租!K75</f>
        <v>2.38</v>
      </c>
      <c r="L93" s="36">
        <f t="shared" si="65"/>
        <v>-0.00833333333333319</v>
      </c>
      <c r="M93" s="35">
        <f>出租!M73-出租!M75</f>
        <v>2.39</v>
      </c>
      <c r="N93" s="36">
        <f t="shared" si="66"/>
        <v>-0.00416666666666587</v>
      </c>
      <c r="O93" s="35">
        <f>出租!O73-出租!O75</f>
        <v>2.42</v>
      </c>
      <c r="P93" s="36">
        <f t="shared" si="67"/>
        <v>-0.0241935483870976</v>
      </c>
      <c r="Q93" s="127"/>
      <c r="R93" s="127"/>
      <c r="S93" s="131">
        <f t="shared" si="68"/>
        <v>16.72</v>
      </c>
      <c r="T93" s="132">
        <f t="shared" si="69"/>
        <v>-0.132780082987552</v>
      </c>
      <c r="U93" s="36"/>
      <c r="V93" s="35">
        <f>出租!V73-出租!V75</f>
        <v>2.4</v>
      </c>
      <c r="W93" s="36">
        <f t="shared" si="73"/>
        <v>0.0619469026548676</v>
      </c>
      <c r="X93" s="35">
        <f>出租!X73-出租!X75</f>
        <v>2.4</v>
      </c>
      <c r="Y93" s="36">
        <f t="shared" si="74"/>
        <v>0.0619469026548676</v>
      </c>
      <c r="Z93" s="35">
        <f>出租!Z73-出租!Z75</f>
        <v>2.4</v>
      </c>
      <c r="AA93" s="36">
        <f t="shared" si="75"/>
        <v>0.0572687224669606</v>
      </c>
      <c r="AB93" s="35">
        <f>出租!AB73-出租!AB75</f>
        <v>2.4</v>
      </c>
      <c r="AC93" s="36">
        <f t="shared" si="76"/>
        <v>0.066666666666666</v>
      </c>
      <c r="AD93" s="35">
        <f>出租!AD73-出租!AD75</f>
        <v>2.4</v>
      </c>
      <c r="AE93" s="36">
        <f t="shared" si="77"/>
        <v>0.0666666666666669</v>
      </c>
      <c r="AF93" s="35">
        <f>出租!AF73-出租!AF75</f>
        <v>2.4</v>
      </c>
      <c r="AG93" s="36">
        <f t="shared" si="78"/>
        <v>0.0714285714285714</v>
      </c>
      <c r="AH93" s="35">
        <f>出租!AH73-出租!AH75</f>
        <v>2.48</v>
      </c>
      <c r="AI93" s="36">
        <f t="shared" si="79"/>
        <v>-0.0981818181818174</v>
      </c>
      <c r="AJ93" s="35">
        <f>出租!AJ73-出租!AJ75</f>
        <v>2.4</v>
      </c>
      <c r="AK93" s="36">
        <f t="shared" si="80"/>
        <v>-0.0977443609022556</v>
      </c>
      <c r="AL93" s="35">
        <f>出租!AL73-出租!AL75</f>
        <v>2.4</v>
      </c>
      <c r="AM93" s="36">
        <f t="shared" si="81"/>
        <v>0.0344827586206891</v>
      </c>
      <c r="AN93" s="35">
        <f>出租!AN73-出租!AN75</f>
        <v>2.4</v>
      </c>
      <c r="AO93" s="36">
        <f t="shared" si="82"/>
        <v>0.0619469026548676</v>
      </c>
      <c r="AP93" s="35">
        <f>出租!AP73-出租!AP75</f>
        <v>2.35</v>
      </c>
      <c r="AQ93" s="36">
        <f t="shared" si="83"/>
        <v>0.0307017543859656</v>
      </c>
      <c r="AR93" s="35">
        <f>出租!AR73-出租!AR75</f>
        <v>2.38</v>
      </c>
      <c r="AS93" s="36">
        <f t="shared" si="84"/>
        <v>0.0818181818181813</v>
      </c>
      <c r="AT93" s="35">
        <f t="shared" si="70"/>
        <v>28.81</v>
      </c>
      <c r="AU93" s="36">
        <f t="shared" si="71"/>
        <v>0.0289285714285712</v>
      </c>
      <c r="AV93" s="37"/>
      <c r="AW93" s="35">
        <v>2.26</v>
      </c>
      <c r="AX93" s="36"/>
      <c r="AY93" s="35">
        <v>2.26</v>
      </c>
      <c r="AZ93" s="36"/>
      <c r="BA93" s="35">
        <v>2.27</v>
      </c>
      <c r="BB93" s="36"/>
      <c r="BC93" s="35">
        <v>2.25</v>
      </c>
      <c r="BD93" s="36"/>
      <c r="BE93" s="35">
        <v>2.25</v>
      </c>
      <c r="BF93" s="36"/>
      <c r="BG93" s="35">
        <v>2.24</v>
      </c>
      <c r="BH93" s="36"/>
      <c r="BI93" s="35">
        <v>2.75</v>
      </c>
      <c r="BJ93" s="36"/>
      <c r="BK93" s="35">
        <v>2.66</v>
      </c>
      <c r="BL93" s="36"/>
      <c r="BM93" s="35">
        <v>2.32</v>
      </c>
      <c r="BN93" s="36"/>
      <c r="BO93" s="35">
        <v>2.26</v>
      </c>
      <c r="BP93" s="36"/>
      <c r="BQ93" s="35">
        <v>2.28</v>
      </c>
      <c r="BR93" s="36"/>
      <c r="BS93" s="35">
        <v>2.2</v>
      </c>
      <c r="BT93" s="36"/>
      <c r="BU93" s="35">
        <f t="shared" si="72"/>
        <v>28</v>
      </c>
      <c r="BV93" s="36"/>
      <c r="BW93" s="40"/>
      <c r="BX93" s="49"/>
      <c r="BY93" s="49"/>
      <c r="BZ93" s="49"/>
      <c r="CA93" s="49"/>
      <c r="CB93" s="49"/>
      <c r="CC93" s="49"/>
      <c r="CD93" s="50"/>
      <c r="CE93" s="49"/>
      <c r="CF93" s="50"/>
      <c r="CG93" s="50"/>
      <c r="CH93" s="50"/>
      <c r="CI93" s="50"/>
      <c r="CJ93" s="47"/>
    </row>
    <row r="94" s="14" customFormat="1" ht="27" customHeight="1" spans="1:88">
      <c r="A94" s="29"/>
      <c r="B94" s="34" t="s">
        <v>297</v>
      </c>
      <c r="C94" s="35">
        <f>网约车!C73-网约车!C75</f>
        <v>0.060958890075798</v>
      </c>
      <c r="D94" s="36">
        <f t="shared" si="61"/>
        <v>1.11854979871758</v>
      </c>
      <c r="E94" s="35">
        <f>网约车!E73-网约车!E75</f>
        <v>0.045816279917927</v>
      </c>
      <c r="F94" s="36">
        <f t="shared" si="62"/>
        <v>0.501230255985651</v>
      </c>
      <c r="G94" s="35">
        <f>网约车!G73-网约车!G75</f>
        <v>0.06446238470154</v>
      </c>
      <c r="H94" s="36">
        <f t="shared" si="63"/>
        <v>0.181937045136338</v>
      </c>
      <c r="I94" s="35">
        <f>网约车!I73-网约车!I75</f>
        <v>0.064326622606387</v>
      </c>
      <c r="J94" s="36">
        <f t="shared" si="64"/>
        <v>1.14263175951652</v>
      </c>
      <c r="K94" s="35">
        <f>网约车!K73-网约车!K75</f>
        <v>0.07802969595433</v>
      </c>
      <c r="L94" s="36">
        <f t="shared" si="65"/>
        <v>1.66317283386694</v>
      </c>
      <c r="M94" s="35">
        <f>网约车!M73-网约车!M75</f>
        <v>0.093636544059095</v>
      </c>
      <c r="N94" s="36">
        <f t="shared" si="66"/>
        <v>2.82329010306671</v>
      </c>
      <c r="O94" s="35">
        <f>网约车!O73-网约车!O75</f>
        <v>0.10792133037006</v>
      </c>
      <c r="P94" s="36">
        <f t="shared" si="67"/>
        <v>0.952230936586959</v>
      </c>
      <c r="Q94" s="127"/>
      <c r="R94" s="127"/>
      <c r="S94" s="131">
        <f t="shared" si="68"/>
        <v>0.515151747685137</v>
      </c>
      <c r="T94" s="132">
        <f t="shared" si="69"/>
        <v>0.615527414852</v>
      </c>
      <c r="U94" s="36"/>
      <c r="V94" s="35">
        <f>网约车!V73-网约车!V75</f>
        <v>0.02877387640956</v>
      </c>
      <c r="W94" s="36">
        <f t="shared" si="73"/>
        <v>4.36179289559421</v>
      </c>
      <c r="X94" s="35">
        <f>网约车!X73-网约车!X75</f>
        <v>0.03051915569597</v>
      </c>
      <c r="Y94" s="36">
        <f t="shared" si="74"/>
        <v>6.0961600861009</v>
      </c>
      <c r="Z94" s="35">
        <f>网约车!Z73-网约车!Z75</f>
        <v>0.054539609336049</v>
      </c>
      <c r="AA94" s="36">
        <f t="shared" si="75"/>
        <v>12.8590954847278</v>
      </c>
      <c r="AB94" s="35">
        <f>网约车!AB73-网约车!AB75</f>
        <v>0.030022248256463</v>
      </c>
      <c r="AC94" s="36">
        <f t="shared" si="76"/>
        <v>6.85631247250273</v>
      </c>
      <c r="AD94" s="35">
        <f>网约车!AD73-网约车!AD75</f>
        <v>0.029299523846911</v>
      </c>
      <c r="AE94" s="36">
        <f t="shared" si="77"/>
        <v>6.0817463505305</v>
      </c>
      <c r="AF94" s="35">
        <f>网约车!AF73-网约车!AF75</f>
        <v>0.024491090535868</v>
      </c>
      <c r="AG94" s="36">
        <f t="shared" si="78"/>
        <v>2.24769914090051</v>
      </c>
      <c r="AH94" s="35">
        <f>网约车!AH73-网约车!AH75</f>
        <v>0.055281026618058</v>
      </c>
      <c r="AI94" s="36">
        <f t="shared" si="79"/>
        <v>4.1328178992029</v>
      </c>
      <c r="AJ94" s="35">
        <f>网约车!AJ73-网约车!AJ75</f>
        <v>0.065948743684707</v>
      </c>
      <c r="AK94" s="36">
        <f t="shared" si="80"/>
        <v>0.805680815500571</v>
      </c>
      <c r="AL94" s="35">
        <f>网约车!AL73-网约车!AL75</f>
        <v>0.047625972719393</v>
      </c>
      <c r="AM94" s="36">
        <f t="shared" si="81"/>
        <v>4.08166508230904</v>
      </c>
      <c r="AN94" s="35">
        <f>网约车!AN73-网约车!AN75</f>
        <v>0.055838133580537</v>
      </c>
      <c r="AO94" s="36">
        <f t="shared" si="82"/>
        <v>3.15185887258299</v>
      </c>
      <c r="AP94" s="35">
        <f>网约车!AP73-网约车!AP75</f>
        <v>0.04764983746689</v>
      </c>
      <c r="AQ94" s="36">
        <f t="shared" si="83"/>
        <v>2.33507433217387</v>
      </c>
      <c r="AR94" s="35">
        <f>网约车!AR73-网约车!AR75</f>
        <v>0.054923336729647</v>
      </c>
      <c r="AS94" s="36">
        <f t="shared" si="84"/>
        <v>1.97446709818258</v>
      </c>
      <c r="AT94" s="35">
        <f t="shared" si="70"/>
        <v>0.524912554880053</v>
      </c>
      <c r="AU94" s="36">
        <f t="shared" si="71"/>
        <v>2.97754767824691</v>
      </c>
      <c r="AV94" s="37"/>
      <c r="AW94" s="35">
        <v>0.00536646546590853</v>
      </c>
      <c r="AX94" s="36"/>
      <c r="AY94" s="35">
        <v>0.00430079864682693</v>
      </c>
      <c r="AZ94" s="36"/>
      <c r="BA94" s="35">
        <v>0.00393529356920512</v>
      </c>
      <c r="BB94" s="36"/>
      <c r="BC94" s="35">
        <v>0.00382141728215897</v>
      </c>
      <c r="BD94" s="36"/>
      <c r="BE94" s="35">
        <v>0.00413733031326604</v>
      </c>
      <c r="BF94" s="36"/>
      <c r="BG94" s="35">
        <v>0.007541058907654</v>
      </c>
      <c r="BH94" s="36"/>
      <c r="BI94" s="35">
        <v>0.0107701125782473</v>
      </c>
      <c r="BJ94" s="36"/>
      <c r="BK94" s="35">
        <v>0.03652292427243</v>
      </c>
      <c r="BL94" s="36"/>
      <c r="BM94" s="35">
        <v>0.00937211956080986</v>
      </c>
      <c r="BN94" s="36"/>
      <c r="BO94" s="35">
        <v>0.013448947879531</v>
      </c>
      <c r="BP94" s="36"/>
      <c r="BQ94" s="35">
        <v>0.0142874888895897</v>
      </c>
      <c r="BR94" s="36"/>
      <c r="BS94" s="35">
        <v>0.018464933353341</v>
      </c>
      <c r="BT94" s="36"/>
      <c r="BU94" s="35">
        <f t="shared" si="72"/>
        <v>0.131968890718968</v>
      </c>
      <c r="BV94" s="36"/>
      <c r="BW94" s="40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47"/>
    </row>
    <row r="95" ht="28.5" customHeight="1" spans="1:88">
      <c r="A95" s="17" t="s">
        <v>298</v>
      </c>
      <c r="D95" s="36"/>
      <c r="F95" s="36"/>
      <c r="H95" s="36"/>
      <c r="J95" s="36"/>
      <c r="L95" s="36"/>
      <c r="N95" s="36"/>
      <c r="P95" s="36"/>
      <c r="Q95" s="36"/>
      <c r="R95" s="127"/>
      <c r="S95" s="127"/>
      <c r="T95" s="132"/>
      <c r="U95" s="133"/>
      <c r="W95" s="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7"/>
      <c r="AS95" s="36"/>
      <c r="AT95" s="47"/>
      <c r="AU95" s="36"/>
      <c r="AV95" s="52"/>
    </row>
    <row r="96" ht="51" customHeight="1" spans="1:88">
      <c r="A96" s="53" t="s">
        <v>299</v>
      </c>
      <c r="D96" s="36"/>
      <c r="F96" s="36"/>
      <c r="H96" s="36"/>
      <c r="J96" s="36"/>
      <c r="L96" s="36"/>
      <c r="N96" s="36"/>
      <c r="P96" s="36"/>
      <c r="Q96" s="36"/>
      <c r="R96" s="127"/>
      <c r="S96" s="127"/>
      <c r="T96" s="132"/>
      <c r="U96" s="133"/>
      <c r="W96" s="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7"/>
      <c r="AS96" s="36"/>
      <c r="AT96" s="47"/>
      <c r="AU96" s="36"/>
      <c r="AV96" s="52"/>
      <c r="BO96" s="127"/>
      <c r="BQ96" s="99">
        <v>153182.708092</v>
      </c>
    </row>
    <row r="97" spans="1:88">
      <c r="A97" s="22" t="s">
        <v>1</v>
      </c>
      <c r="B97" s="23" t="s">
        <v>2</v>
      </c>
      <c r="C97" s="24" t="s">
        <v>151</v>
      </c>
      <c r="D97" s="25" t="s">
        <v>215</v>
      </c>
      <c r="E97" s="24" t="s">
        <v>197</v>
      </c>
      <c r="F97" s="25" t="s">
        <v>216</v>
      </c>
      <c r="G97" s="24" t="s">
        <v>198</v>
      </c>
      <c r="H97" s="25" t="s">
        <v>217</v>
      </c>
      <c r="I97" s="24" t="s">
        <v>199</v>
      </c>
      <c r="J97" s="25" t="s">
        <v>218</v>
      </c>
      <c r="K97" s="24" t="s">
        <v>200</v>
      </c>
      <c r="L97" s="25" t="s">
        <v>219</v>
      </c>
      <c r="M97" s="24" t="s">
        <v>201</v>
      </c>
      <c r="N97" s="25" t="s">
        <v>220</v>
      </c>
      <c r="O97" s="24" t="s">
        <v>202</v>
      </c>
      <c r="P97" s="25" t="s">
        <v>221</v>
      </c>
      <c r="Q97" s="24" t="s">
        <v>203</v>
      </c>
      <c r="R97" s="25" t="s">
        <v>222</v>
      </c>
      <c r="S97" s="129" t="s">
        <v>51</v>
      </c>
      <c r="T97" s="130" t="s">
        <v>12</v>
      </c>
      <c r="U97" s="25"/>
      <c r="V97" s="24" t="s">
        <v>13</v>
      </c>
      <c r="W97" s="25" t="s">
        <v>3</v>
      </c>
      <c r="X97" s="24" t="s">
        <v>14</v>
      </c>
      <c r="Y97" s="25" t="s">
        <v>4</v>
      </c>
      <c r="Z97" s="24" t="s">
        <v>15</v>
      </c>
      <c r="AA97" s="25" t="s">
        <v>5</v>
      </c>
      <c r="AB97" s="24" t="s">
        <v>16</v>
      </c>
      <c r="AC97" s="25" t="s">
        <v>6</v>
      </c>
      <c r="AD97" s="24" t="s">
        <v>17</v>
      </c>
      <c r="AE97" s="25" t="s">
        <v>7</v>
      </c>
      <c r="AF97" s="24" t="s">
        <v>18</v>
      </c>
      <c r="AG97" s="25" t="s">
        <v>8</v>
      </c>
      <c r="AH97" s="24" t="s">
        <v>19</v>
      </c>
      <c r="AI97" s="25" t="s">
        <v>9</v>
      </c>
      <c r="AJ97" s="24" t="s">
        <v>20</v>
      </c>
      <c r="AK97" s="25" t="s">
        <v>10</v>
      </c>
      <c r="AL97" s="24" t="s">
        <v>21</v>
      </c>
      <c r="AM97" s="25" t="s">
        <v>22</v>
      </c>
      <c r="AN97" s="24" t="s">
        <v>23</v>
      </c>
      <c r="AO97" s="25" t="s">
        <v>24</v>
      </c>
      <c r="AP97" s="24" t="s">
        <v>25</v>
      </c>
      <c r="AQ97" s="25" t="s">
        <v>26</v>
      </c>
      <c r="AR97" s="24" t="s">
        <v>27</v>
      </c>
      <c r="AS97" s="25" t="s">
        <v>28</v>
      </c>
      <c r="AT97" s="25" t="s">
        <v>29</v>
      </c>
      <c r="AU97" s="25" t="s">
        <v>44</v>
      </c>
      <c r="AV97" s="134"/>
      <c r="AW97" s="24" t="s">
        <v>31</v>
      </c>
      <c r="AX97" s="25" t="s">
        <v>3</v>
      </c>
      <c r="AY97" s="24" t="s">
        <v>32</v>
      </c>
      <c r="AZ97" s="25" t="s">
        <v>4</v>
      </c>
      <c r="BA97" s="24" t="s">
        <v>33</v>
      </c>
      <c r="BB97" s="25" t="s">
        <v>5</v>
      </c>
      <c r="BC97" s="24" t="s">
        <v>34</v>
      </c>
      <c r="BD97" s="25" t="s">
        <v>6</v>
      </c>
      <c r="BE97" s="24" t="s">
        <v>35</v>
      </c>
      <c r="BF97" s="25" t="s">
        <v>7</v>
      </c>
      <c r="BG97" s="24" t="s">
        <v>36</v>
      </c>
      <c r="BH97" s="25" t="s">
        <v>8</v>
      </c>
      <c r="BI97" s="24" t="s">
        <v>37</v>
      </c>
      <c r="BJ97" s="25" t="s">
        <v>9</v>
      </c>
      <c r="BK97" s="24" t="s">
        <v>38</v>
      </c>
      <c r="BL97" s="25" t="s">
        <v>10</v>
      </c>
      <c r="BM97" s="24" t="s">
        <v>39</v>
      </c>
      <c r="BN97" s="25" t="s">
        <v>22</v>
      </c>
      <c r="BO97" s="24" t="s">
        <v>40</v>
      </c>
      <c r="BP97" s="25" t="s">
        <v>24</v>
      </c>
      <c r="BQ97" s="24" t="s">
        <v>41</v>
      </c>
      <c r="BR97" s="25" t="s">
        <v>26</v>
      </c>
      <c r="BS97" s="24" t="s">
        <v>42</v>
      </c>
      <c r="BT97" s="25" t="s">
        <v>28</v>
      </c>
      <c r="BU97" s="25" t="s">
        <v>51</v>
      </c>
      <c r="BV97" s="25" t="s">
        <v>44</v>
      </c>
      <c r="BW97" s="26"/>
      <c r="BX97" s="24" t="s">
        <v>45</v>
      </c>
      <c r="BY97" s="24" t="s">
        <v>46</v>
      </c>
      <c r="BZ97" s="24" t="s">
        <v>47</v>
      </c>
      <c r="CA97" s="24" t="s">
        <v>48</v>
      </c>
      <c r="CB97" s="24" t="s">
        <v>49</v>
      </c>
      <c r="CC97" s="24" t="s">
        <v>50</v>
      </c>
      <c r="CD97" s="24" t="s">
        <v>152</v>
      </c>
      <c r="CE97" s="24" t="s">
        <v>153</v>
      </c>
      <c r="CF97" s="24" t="s">
        <v>154</v>
      </c>
      <c r="CG97" s="24" t="s">
        <v>270</v>
      </c>
      <c r="CH97" s="24" t="s">
        <v>271</v>
      </c>
      <c r="CI97" s="24" t="s">
        <v>272</v>
      </c>
      <c r="CJ97" s="25" t="s">
        <v>51</v>
      </c>
    </row>
    <row r="98" spans="1:8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0"/>
      <c r="U98" s="32"/>
      <c r="V98" s="29"/>
      <c r="W98" s="30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31"/>
      <c r="AU98" s="30"/>
      <c r="AV98" s="135"/>
      <c r="AW98" s="29"/>
      <c r="AX98" s="30"/>
      <c r="AY98" s="29"/>
      <c r="AZ98" s="30"/>
      <c r="BA98" s="29"/>
      <c r="BB98" s="30"/>
      <c r="BC98" s="29"/>
      <c r="BD98" s="30"/>
      <c r="BE98" s="29"/>
      <c r="BF98" s="30"/>
      <c r="BG98" s="29"/>
      <c r="BH98" s="30"/>
      <c r="BI98" s="29"/>
      <c r="BJ98" s="30"/>
      <c r="BK98" s="29"/>
      <c r="BL98" s="30"/>
      <c r="BM98" s="29"/>
      <c r="BN98" s="30"/>
      <c r="BO98" s="29"/>
      <c r="BP98" s="30"/>
      <c r="BQ98" s="29"/>
      <c r="BR98" s="30"/>
      <c r="BS98" s="29"/>
      <c r="BT98" s="30"/>
      <c r="BU98" s="31"/>
      <c r="BV98" s="30"/>
      <c r="BW98" s="26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31"/>
    </row>
    <row r="99" s="15" customFormat="1" ht="28.8" customHeight="1" spans="1:88">
      <c r="A99" s="33" t="s">
        <v>80</v>
      </c>
      <c r="B99" s="34" t="s">
        <v>300</v>
      </c>
      <c r="C99" s="35">
        <f>C100+C101+C102+C103</f>
        <v>131496.2814</v>
      </c>
      <c r="D99" s="36">
        <f t="shared" ref="D99:D130" si="85">C99/V99-1</f>
        <v>-0.0881133006863221</v>
      </c>
      <c r="E99" s="35">
        <f>E100+E101+E102+E103</f>
        <v>148916.514818</v>
      </c>
      <c r="F99" s="36">
        <f t="shared" ref="F99:F130" si="86">E99/X99-1</f>
        <v>-0.0221937850408354</v>
      </c>
      <c r="G99" s="35">
        <f>G100+G101+G102+G103</f>
        <v>155961.270273</v>
      </c>
      <c r="H99" s="36">
        <f t="shared" ref="H99:H130" si="87">G99/Z99-1</f>
        <v>-0.00530162788199551</v>
      </c>
      <c r="I99" s="35">
        <f>I100+I101+I102+I103</f>
        <v>162178.990109</v>
      </c>
      <c r="J99" s="36">
        <f t="shared" ref="J99:J130" si="88">I99/AB99-1</f>
        <v>-0.045517565358978</v>
      </c>
      <c r="K99" s="35">
        <f>K100+K101+K102+K103</f>
        <v>163957.390395</v>
      </c>
      <c r="L99" s="36">
        <f t="shared" ref="L99:L130" si="89">K99/AD99-1</f>
        <v>-0.0120417017122474</v>
      </c>
      <c r="M99" s="35">
        <f>M100+M101+M102+M103</f>
        <v>154548.752275</v>
      </c>
      <c r="N99" s="36">
        <f t="shared" ref="N99:N130" si="90">M99/AF99-1</f>
        <v>-0.00763142682492091</v>
      </c>
      <c r="O99" s="35">
        <f>O100+O101+O102+O103</f>
        <v>154070.59412</v>
      </c>
      <c r="P99" s="36">
        <f t="shared" ref="P99:P130" si="91">O99/AH99-1</f>
        <v>-0.0210332677677018</v>
      </c>
      <c r="Q99" s="127"/>
      <c r="R99" s="127"/>
      <c r="S99" s="131">
        <f t="shared" ref="S99:S130" si="92">E99+C99+G99+I99+K99+M99+O99+Q99</f>
        <v>1071129.79339</v>
      </c>
      <c r="T99" s="132">
        <f t="shared" ref="T99:T130" si="93">S99/SUM(V99,X99,Z99,AB99,AD99,AF99,AH99,AJ99)-1</f>
        <v>-0.147653977039171</v>
      </c>
      <c r="U99" s="35"/>
      <c r="V99" s="35">
        <f>V100+V101+V102+V103</f>
        <v>144202.43381</v>
      </c>
      <c r="W99" s="36">
        <f t="shared" ref="W99:W130" si="94">V99/AW99-1</f>
        <v>0.107372002946531</v>
      </c>
      <c r="X99" s="35">
        <f>X100+X101+X102+X103</f>
        <v>152296.55175</v>
      </c>
      <c r="Y99" s="36">
        <f t="shared" ref="Y99:Y130" si="95">X99/AY99-1</f>
        <v>0.10139368911775</v>
      </c>
      <c r="Z99" s="35">
        <f>Z100+Z101+Z102+Z103</f>
        <v>156792.5259</v>
      </c>
      <c r="AA99" s="36">
        <f t="shared" ref="AA99:AA130" si="96">Z99/BA99-1</f>
        <v>0.12210129491996</v>
      </c>
      <c r="AB99" s="35">
        <f>AB100+AB101+AB102+AB103</f>
        <v>169913.016964</v>
      </c>
      <c r="AC99" s="36">
        <f t="shared" ref="AC99:AC130" si="97">AB99/BC99-1</f>
        <v>0.10190391844447</v>
      </c>
      <c r="AD99" s="35">
        <f>AD100+AD101+AD102+AD103</f>
        <v>165955.7804</v>
      </c>
      <c r="AE99" s="36">
        <f t="shared" ref="AE99:AE130" si="98">AD99/BE99-1</f>
        <v>0.0838596222144132</v>
      </c>
      <c r="AF99" s="35">
        <f>AF100+AF101+AF102+AF103</f>
        <v>155737.2497</v>
      </c>
      <c r="AG99" s="36">
        <f t="shared" ref="AG99:AG130" si="99">AF99/BG99-1</f>
        <v>0.0990883865565872</v>
      </c>
      <c r="AH99" s="35">
        <f>AH100+AH101+AH102+AH103</f>
        <v>157380.8272</v>
      </c>
      <c r="AI99" s="36">
        <f t="shared" ref="AI99:AI130" si="100">AH99/BI99-1</f>
        <v>0.0626555493266547</v>
      </c>
      <c r="AJ99" s="35">
        <f>AJ100+AJ101+AJ102+AJ103</f>
        <v>154405.83</v>
      </c>
      <c r="AK99" s="36">
        <f t="shared" ref="AK99:AK130" si="101">AJ99/BK99-1</f>
        <v>0.0361858239117341</v>
      </c>
      <c r="AL99" s="35">
        <f>AL100+AL101+AL102+AL103</f>
        <v>149915.8019</v>
      </c>
      <c r="AM99" s="36">
        <f t="shared" ref="AM99:AM130" si="102">AL99/BM99-1</f>
        <v>0.0331052153844646</v>
      </c>
      <c r="AN99" s="35">
        <f>AN100+AN101+AN102+AN103</f>
        <v>157572.669341</v>
      </c>
      <c r="AO99" s="36">
        <f t="shared" ref="AO99:AO130" si="103">AN99/BO99-1</f>
        <v>-0.0441247865776668</v>
      </c>
      <c r="AP99" s="35">
        <f>AP100+AP101+AP102+AP103</f>
        <v>150427.714692</v>
      </c>
      <c r="AQ99" s="36">
        <f t="shared" ref="AQ99:AQ130" si="104">AP99/BQ99-1</f>
        <v>-0.0179850156346982</v>
      </c>
      <c r="AR99" s="35">
        <f>AR100+AR101+AR102+AR103</f>
        <v>137240.016772</v>
      </c>
      <c r="AS99" s="36">
        <f t="shared" ref="AS99:AS130" si="105">AR99/BS99-1</f>
        <v>0.013639162214357</v>
      </c>
      <c r="AT99" s="35">
        <f t="shared" ref="AT99:AT130" si="106">X99+V99+Z99+AB99+AD99+AF99+AH99+AJ99+AL99+AN99+AP99+AR99</f>
        <v>1851840.418429</v>
      </c>
      <c r="AU99" s="36">
        <f t="shared" ref="AU99:AU130" si="107">AT99/SUM(AW99,AY99,BA99,BC99,BE99,BG99,BI99,BK99,BM99,BO99,BQ99,BS99)-1</f>
        <v>0.056450420684798</v>
      </c>
      <c r="AV99" s="37"/>
      <c r="AW99" s="38">
        <f>AW100+AW101+AW102+AW103</f>
        <v>130220.4078</v>
      </c>
      <c r="AX99" s="37">
        <f>AW99/BX99-1</f>
        <v>0.216735329711004</v>
      </c>
      <c r="AY99" s="38">
        <f>AY100+AY101+AY102+AY103</f>
        <v>138276.216084</v>
      </c>
      <c r="AZ99" s="37">
        <f>AY99/BY99-1</f>
        <v>0.0555126503996544</v>
      </c>
      <c r="BA99" s="38">
        <f>BA100+BA101+BA102+BA103</f>
        <v>139731.1692</v>
      </c>
      <c r="BB99" s="37">
        <f>BA99/BZ99-1</f>
        <v>0.00211520200172011</v>
      </c>
      <c r="BC99" s="38">
        <f>BC100+BC101+BC102+BC103</f>
        <v>154199.4852</v>
      </c>
      <c r="BD99" s="37">
        <f>BC99/CA99-1</f>
        <v>0.0519394518930456</v>
      </c>
      <c r="BE99" s="38">
        <f>BE100+BE101+BE102+BE103</f>
        <v>153115.566812</v>
      </c>
      <c r="BF99" s="37">
        <f>BE99/CB99-1</f>
        <v>0.0598826379821411</v>
      </c>
      <c r="BG99" s="38">
        <f>BG100+BG101+BG102+BG103</f>
        <v>141696.7476</v>
      </c>
      <c r="BH99" s="37">
        <f>BG99/CC99-1</f>
        <v>0.010723223503706</v>
      </c>
      <c r="BI99" s="38">
        <f>BI100+BI101+BI102+BI103</f>
        <v>148101.449524</v>
      </c>
      <c r="BJ99" s="37">
        <f>BI99/CD99-1</f>
        <v>-0.0508833847901389</v>
      </c>
      <c r="BK99" s="38">
        <f>BK100+BK101+BK102+BK103</f>
        <v>149013.64836</v>
      </c>
      <c r="BL99" s="37">
        <f>BK99/CE99-1</f>
        <v>0.00859117969073475</v>
      </c>
      <c r="BM99" s="38">
        <f>BM100+BM101+BM102+BM103</f>
        <v>145111.84308</v>
      </c>
      <c r="BN99" s="37">
        <f>BM99/CF99-1</f>
        <v>0.0295795445163745</v>
      </c>
      <c r="BO99" s="38">
        <f>BO100+BO101+BO102+BO103</f>
        <v>164846.485324</v>
      </c>
      <c r="BP99" s="37">
        <f>BO99/CG99-1</f>
        <v>0.0958297577942706</v>
      </c>
      <c r="BQ99" s="38">
        <f>BQ100+BQ101+BQ102+BQ103</f>
        <v>153182.708092</v>
      </c>
      <c r="BR99" s="37">
        <f>BQ99/CH99-1</f>
        <v>0.0672843533965093</v>
      </c>
      <c r="BS99" s="38">
        <f>BS100+BS101+BS102+BS103</f>
        <v>135393.364708</v>
      </c>
      <c r="BT99" s="37">
        <f>BS99/CI99-1</f>
        <v>0.0342101193844573</v>
      </c>
      <c r="BU99" s="38">
        <f t="shared" ref="BU99:BU130" si="108">AW99+AY99+BA99+BC99+BE99+BG99+BI99+BK99+BM99+BO99+BQ99+BS99</f>
        <v>1752889.091784</v>
      </c>
      <c r="BV99" s="37">
        <f>BU99/CJ99-1</f>
        <v>0.0444381531576594</v>
      </c>
      <c r="BW99" s="39"/>
      <c r="BX99" s="38">
        <f t="shared" ref="BX99:CI99" si="109">BX100+BX101+BX102+BX103</f>
        <v>107024.4322</v>
      </c>
      <c r="BY99" s="38">
        <f t="shared" si="109"/>
        <v>131003.8454126</v>
      </c>
      <c r="BZ99" s="38">
        <f t="shared" si="109"/>
        <v>139436.2334</v>
      </c>
      <c r="CA99" s="38">
        <f t="shared" si="109"/>
        <v>146585.8942</v>
      </c>
      <c r="CB99" s="38">
        <f t="shared" si="109"/>
        <v>144464.6429</v>
      </c>
      <c r="CC99" s="38">
        <f t="shared" si="109"/>
        <v>140193.4222</v>
      </c>
      <c r="CD99" s="38">
        <f t="shared" si="109"/>
        <v>156041.3622</v>
      </c>
      <c r="CE99" s="38">
        <f t="shared" si="109"/>
        <v>147744.3501</v>
      </c>
      <c r="CF99" s="38">
        <f t="shared" si="109"/>
        <v>140942.8187</v>
      </c>
      <c r="CG99" s="38">
        <f t="shared" si="109"/>
        <v>150430.7436</v>
      </c>
      <c r="CH99" s="38">
        <f t="shared" si="109"/>
        <v>143525.6758</v>
      </c>
      <c r="CI99" s="38">
        <f t="shared" si="109"/>
        <v>130914.7553</v>
      </c>
      <c r="CJ99" s="38">
        <f>BX99+BY99+BZ99+CA99+CB99+CC99+CD99+CE99+CF99+CG99+CH99+CI99</f>
        <v>1678308.1760126</v>
      </c>
    </row>
    <row r="100" ht="28.8" customHeight="1" spans="1:88">
      <c r="A100" s="27"/>
      <c r="B100" s="34" t="s">
        <v>301</v>
      </c>
      <c r="C100" s="35">
        <f>C105+C110+C115+C120+C125+C130+C135+C140+C145+C150+C155+C160+C165+C170+C175+C180+C185</f>
        <v>91471.0814</v>
      </c>
      <c r="D100" s="36">
        <f t="shared" si="85"/>
        <v>-0.118590713389346</v>
      </c>
      <c r="E100" s="35">
        <f>E105+E110+E115+E120+E125+E130+E135+E140+E145+E150+E155+E160+E165+E170+E175+E180+E185</f>
        <v>110843.064818</v>
      </c>
      <c r="F100" s="36">
        <f t="shared" si="86"/>
        <v>-0.0138149892582627</v>
      </c>
      <c r="G100" s="35">
        <f>G105+G110+G115+G120+G125+G130+G135+G140+G145+G150+G155+G160+G165+G170+G175+G180+G185</f>
        <v>115505.520273</v>
      </c>
      <c r="H100" s="36">
        <f t="shared" si="87"/>
        <v>0.0202075740990879</v>
      </c>
      <c r="I100" s="35">
        <f>I105+I110+I115+I120+I125+I130+I135+I140+I145+I150+I155+I160+I165+I170+I175+I180+I185</f>
        <v>121466.090109</v>
      </c>
      <c r="J100" s="36">
        <f t="shared" si="88"/>
        <v>-0.0369579718746877</v>
      </c>
      <c r="K100" s="35">
        <f>K105+K110+K115+K120+K125+K130+K135+K140+K145+K150+K155+K160+K165+K170+K175+K180+K185</f>
        <v>121944.200395</v>
      </c>
      <c r="L100" s="36">
        <f t="shared" si="89"/>
        <v>0.0154038975781232</v>
      </c>
      <c r="M100" s="35">
        <f>M105+M110+M115+M120+M125+M130+M135+M140+M145+M150+M155+M160+M165+M170+M175+M180+M185</f>
        <v>112912.972275</v>
      </c>
      <c r="N100" s="36">
        <f t="shared" si="90"/>
        <v>0.0120279694419552</v>
      </c>
      <c r="O100" s="35">
        <f>O105+O110+O115+O120+O125+O130+O135+O140+O145+O150+O155+O160+O165+O170+O175+O180+O185</f>
        <v>113731.31412</v>
      </c>
      <c r="P100" s="36">
        <f t="shared" si="91"/>
        <v>-0.0166566655530825</v>
      </c>
      <c r="Q100" s="127"/>
      <c r="R100" s="127"/>
      <c r="S100" s="131">
        <f t="shared" si="92"/>
        <v>787874.24339</v>
      </c>
      <c r="T100" s="132">
        <f t="shared" si="93"/>
        <v>-0.142217677388925</v>
      </c>
      <c r="U100" s="35"/>
      <c r="V100" s="35">
        <f>V105+V110+V115+V120+V125+V130+V135+V140+V145+V150+V155+V160+V165+V170+V175+V180+V185</f>
        <v>103778.21381</v>
      </c>
      <c r="W100" s="36">
        <f t="shared" si="94"/>
        <v>0.182729441967362</v>
      </c>
      <c r="X100" s="35">
        <f>X105+X110+X115+X120+X125+X130+X135+X140+X145+X150+X155+X160+X165+X170+X175+X180+X185</f>
        <v>112395.81175</v>
      </c>
      <c r="Y100" s="36">
        <f t="shared" si="95"/>
        <v>0.101866076377529</v>
      </c>
      <c r="Z100" s="35">
        <f>Z105+Z110+Z115+Z120+Z125+Z130+Z135+Z140+Z145+Z150+Z155+Z160+Z165+Z170+Z175+Z180+Z185</f>
        <v>113217.6659</v>
      </c>
      <c r="AA100" s="36">
        <f t="shared" si="96"/>
        <v>0.120661756352595</v>
      </c>
      <c r="AB100" s="35">
        <f>AB105+AB110+AB115+AB120+AB125+AB130+AB135+AB140+AB145+AB150+AB155+AB160+AB165+AB170+AB175+AB180+AB185</f>
        <v>126127.506964</v>
      </c>
      <c r="AC100" s="36">
        <f t="shared" si="97"/>
        <v>0.109669325483287</v>
      </c>
      <c r="AD100" s="35">
        <f>AD105+AD110+AD115+AD120+AD125+AD130+AD135+AD140+AD145+AD150+AD155+AD160+AD165+AD170+AD175+AD180+AD185</f>
        <v>120094.2804</v>
      </c>
      <c r="AE100" s="36">
        <f t="shared" si="98"/>
        <v>0.0646012696213658</v>
      </c>
      <c r="AF100" s="35">
        <f>AF105+AF110+AF115+AF120+AF125+AF130+AF135+AF140+AF145+AF150+AF155+AF160+AF165+AF170+AF175+AF180+AF185</f>
        <v>111570.9997</v>
      </c>
      <c r="AG100" s="36">
        <f t="shared" si="99"/>
        <v>0.0853360260891394</v>
      </c>
      <c r="AH100" s="35">
        <f>AH105+AH110+AH115+AH120+AH125+AH130+AH135+AH140+AH145+AH150+AH155+AH160+AH165+AH170+AH175+AH180+AH185</f>
        <v>115657.7872</v>
      </c>
      <c r="AI100" s="36">
        <f t="shared" si="100"/>
        <v>0.0635823815878951</v>
      </c>
      <c r="AJ100" s="35">
        <f>AJ105+AJ110+AJ115+AJ120+AJ125+AJ130+AJ135+AJ140+AJ145+AJ150+AJ155+AJ160+AJ165+AJ170+AJ175+AJ180+AJ185</f>
        <v>115659.11</v>
      </c>
      <c r="AK100" s="36">
        <f t="shared" si="101"/>
        <v>0.0417686289270238</v>
      </c>
      <c r="AL100" s="35">
        <f>AL105+AL110+AL115+AL120+AL125+AL130+AL135+AL140+AL145+AL150+AL155+AL160+AL165+AL170+AL175+AL180+AL185</f>
        <v>110618.6519</v>
      </c>
      <c r="AM100" s="36">
        <f t="shared" si="102"/>
        <v>0.048135005377127</v>
      </c>
      <c r="AN100" s="35">
        <f>AN105+AN110+AN115+AN120+AN125+AN130+AN135+AN140+AN145+AN150+AN155+AN160+AN165+AN170+AN175+AN180+AN185</f>
        <v>117451.749341</v>
      </c>
      <c r="AO100" s="36">
        <f t="shared" si="103"/>
        <v>-0.0541603778297368</v>
      </c>
      <c r="AP100" s="35">
        <f>AP105+AP110+AP115+AP120+AP125+AP130+AP135+AP140+AP145+AP150+AP155+AP160+AP165+AP170+AP175+AP180+AP185</f>
        <v>111181.804692</v>
      </c>
      <c r="AQ100" s="36">
        <f t="shared" si="104"/>
        <v>-0.0188148630091607</v>
      </c>
      <c r="AR100" s="35">
        <f>AR105+AR110+AR115+AR120+AR125+AR130+AR135+AR140+AR145+AR150+AR155+AR160+AR165+AR170+AR175+AR180+AR185</f>
        <v>98094.606772</v>
      </c>
      <c r="AS100" s="36">
        <f t="shared" si="105"/>
        <v>0.0300557827688894</v>
      </c>
      <c r="AT100" s="35">
        <f t="shared" si="106"/>
        <v>1355848.188429</v>
      </c>
      <c r="AU100" s="36">
        <f t="shared" si="107"/>
        <v>0.06085415812465</v>
      </c>
      <c r="AV100" s="37"/>
      <c r="AW100" s="35">
        <f>AW105+AW110+AW115+AW120+AW125+AW130+AW135+AW140+AW145+AW150+AW155+AW160+AW165+AW170+AW175+AW180+AW185</f>
        <v>87744.6778</v>
      </c>
      <c r="AX100" s="36">
        <f>AW100/BX100-1</f>
        <v>0.15100766529451</v>
      </c>
      <c r="AY100" s="35">
        <f>AY105+AY110+AY115+AY120+AY125+AY130+AY135+AY140+AY145+AY150+AY155+AY160+AY165+AY170+AY175+AY180+AY185</f>
        <v>102004.966084</v>
      </c>
      <c r="AZ100" s="36">
        <f>AY100/BY100-1</f>
        <v>0.100107267425007</v>
      </c>
      <c r="BA100" s="35">
        <f>BA105+BA110+BA115+BA120+BA125+BA130+BA135+BA140+BA145+BA150+BA155+BA160+BA165+BA170+BA175+BA180+BA185</f>
        <v>101027.5092</v>
      </c>
      <c r="BB100" s="36">
        <f>BA100/BZ100-1</f>
        <v>0.00238100677637965</v>
      </c>
      <c r="BC100" s="35">
        <f>BC105+BC110+BC115+BC120+BC125+BC130+BC135+BC140+BC145+BC150+BC155+BC160+BC165+BC170+BC175+BC180+BC185</f>
        <v>113662.2452</v>
      </c>
      <c r="BD100" s="36">
        <f>BC100/CA100-1</f>
        <v>0.0810017325530483</v>
      </c>
      <c r="BE100" s="35">
        <f>BE105+BE110+BE115+BE120+BE125+BE130+BE135+BE140+BE145+BE150+BE155+BE160+BE165+BE170+BE175+BE180+BE185</f>
        <v>112806.816812</v>
      </c>
      <c r="BF100" s="36">
        <f>BE100/CB100-1</f>
        <v>0.0927211214119887</v>
      </c>
      <c r="BG100" s="35">
        <f>BG105+BG110+BG115+BG120+BG125+BG130+BG135+BG140+BG145+BG150+BG155+BG160+BG165+BG170+BG175+BG180+BG185</f>
        <v>102798.5776</v>
      </c>
      <c r="BH100" s="36">
        <f>BG100/CC100-1</f>
        <v>0.0264419846733275</v>
      </c>
      <c r="BI100" s="35">
        <f>BI105+BI110+BI115+BI120+BI125+BI130+BI135+BI140+BI145+BI150+BI155+BI160+BI165+BI170+BI175+BI180+BI185</f>
        <v>108743.609524</v>
      </c>
      <c r="BJ100" s="36">
        <f>BI100/CD100-1</f>
        <v>-0.0670089338917056</v>
      </c>
      <c r="BK100" s="35">
        <f>BK105+BK110+BK115+BK120+BK125+BK130+BK135+BK140+BK145+BK150+BK155+BK160+BK165+BK170+BK175+BK180+BK185</f>
        <v>111021.87836</v>
      </c>
      <c r="BL100" s="36">
        <f>BK100/CE100-1</f>
        <v>0.0218832123574135</v>
      </c>
      <c r="BM100" s="35">
        <f>BM105+BM110+BM115+BM120+BM125+BM130+BM135+BM140+BM145+BM150+BM155+BM160+BM165+BM170+BM175+BM180+BM185</f>
        <v>105538.55308</v>
      </c>
      <c r="BN100" s="36">
        <f>BM100/CF100-1</f>
        <v>0.0386094058735496</v>
      </c>
      <c r="BO100" s="35">
        <f>BO105+BO110+BO115+BO120+BO125+BO130+BO135+BO140+BO145+BO150+BO155+BO160+BO165+BO170+BO175+BO180+BO185</f>
        <v>124177.235324</v>
      </c>
      <c r="BP100" s="36">
        <f>BO100/CG100-1</f>
        <v>0.146862236638992</v>
      </c>
      <c r="BQ100" s="35">
        <f>BQ105+BQ110+BQ115+BQ120+BQ125+BQ130+BQ135+BQ140+BQ145+BQ150+BQ155+BQ160+BQ165+BQ170+BQ175+BQ180+BQ185</f>
        <v>113313.788092</v>
      </c>
      <c r="BR100" s="36">
        <f>BQ100/CH100-1</f>
        <v>0.124150011546979</v>
      </c>
      <c r="BS100" s="35">
        <f>BS105+BS110+BS115+BS120+BS125+BS130+BS135+BS140+BS145+BS150+BS155+BS160+BS165+BS170+BS175+BS180+BS185</f>
        <v>95232.324708</v>
      </c>
      <c r="BT100" s="36">
        <f>BS100/CI100-1</f>
        <v>0.0936608024263421</v>
      </c>
      <c r="BU100" s="35">
        <f t="shared" si="108"/>
        <v>1278072.181784</v>
      </c>
      <c r="BV100" s="36">
        <f>BU100/CJ100-1</f>
        <v>0.0639617209413346</v>
      </c>
      <c r="BW100" s="40"/>
      <c r="BX100" s="41">
        <v>76232.9222</v>
      </c>
      <c r="BY100" s="41">
        <v>92722.7454126</v>
      </c>
      <c r="BZ100" s="41">
        <v>100787.5334</v>
      </c>
      <c r="CA100" s="41">
        <v>105145.2942</v>
      </c>
      <c r="CB100" s="41">
        <v>103234.7729</v>
      </c>
      <c r="CC100" s="41">
        <v>100150.4022</v>
      </c>
      <c r="CD100" s="41">
        <v>116553.7522</v>
      </c>
      <c r="CE100" s="41">
        <v>108644.3901</v>
      </c>
      <c r="CF100" s="41">
        <v>101615.2487</v>
      </c>
      <c r="CG100" s="41">
        <v>108275.6336</v>
      </c>
      <c r="CH100" s="41">
        <v>100799.5258</v>
      </c>
      <c r="CI100" s="41">
        <v>87076.6553</v>
      </c>
      <c r="CJ100" s="35">
        <f>BX100+BY100+BZ100+CA100+CB100+CC100+CD100+CE100+CF100+CG100+CH100+CI100</f>
        <v>1201238.8760126</v>
      </c>
    </row>
    <row r="101" ht="28.8" customHeight="1" spans="1:88">
      <c r="A101" s="27"/>
      <c r="B101" s="34" t="s">
        <v>302</v>
      </c>
      <c r="C101" s="35">
        <f>C106+C111+C116+C121+C126+C131+C136+C141+C146+C151+C156+C161+C166+C171+C176+C181+C186</f>
        <v>28031.86</v>
      </c>
      <c r="D101" s="36">
        <f t="shared" si="85"/>
        <v>-0.0635907625332879</v>
      </c>
      <c r="E101" s="35">
        <f>E106+E111+E116+E121+E126+E131+E136+E141+E146+E151+E156+E161+E166+E171+E176+E181+E186</f>
        <v>26676.99</v>
      </c>
      <c r="F101" s="36">
        <f t="shared" si="86"/>
        <v>-0.102713555061193</v>
      </c>
      <c r="G101" s="35">
        <f>G106+G111+G116+G121+G126+G131+G136+G141+G146+G151+G156+G161+G166+G171+G176+G181+G186</f>
        <v>28698.14</v>
      </c>
      <c r="H101" s="36">
        <f t="shared" si="87"/>
        <v>-0.142177074496736</v>
      </c>
      <c r="I101" s="35">
        <f>I106+I111+I116+I121+I126+I131+I136+I141+I146+I151+I156+I161+I166+I171+I176+I181+I186</f>
        <v>29205.85</v>
      </c>
      <c r="J101" s="36">
        <f t="shared" si="88"/>
        <v>-0.126928183002246</v>
      </c>
      <c r="K101" s="35">
        <f>K106+K111+K116+K121+K126+K131+K136+K141+K146+K151+K156+K161+K166+K171+K176+K181+K186</f>
        <v>29927.92</v>
      </c>
      <c r="L101" s="36">
        <f t="shared" si="89"/>
        <v>-0.13305452808441</v>
      </c>
      <c r="M101" s="35">
        <f>M106+M111+M116+M121+M126+M131+M136+M141+M146+M151+M156+M161+M166+M171+M176+M181+M186</f>
        <v>29472.93</v>
      </c>
      <c r="N101" s="36">
        <f t="shared" si="90"/>
        <v>-0.117188667710439</v>
      </c>
      <c r="O101" s="35">
        <f>O106+O111+O116+O121+O126+O131+O136+O141+O146+O151+O156+O161+O166+O171+O176+O181+O186</f>
        <v>27882.4</v>
      </c>
      <c r="P101" s="36">
        <f t="shared" si="91"/>
        <v>-0.0794813317187129</v>
      </c>
      <c r="Q101" s="127"/>
      <c r="R101" s="127"/>
      <c r="S101" s="131">
        <f t="shared" si="92"/>
        <v>199896.09</v>
      </c>
      <c r="T101" s="132">
        <f t="shared" si="93"/>
        <v>-0.207504072275774</v>
      </c>
      <c r="U101" s="35"/>
      <c r="V101" s="35">
        <f>V106+V111+V116+V121+V126+V131+V136+V141+V146+V151+V156+V161+V166+V171+V176+V181+V186</f>
        <v>29935.48</v>
      </c>
      <c r="W101" s="36">
        <f t="shared" si="94"/>
        <v>-0.0103993182162284</v>
      </c>
      <c r="X101" s="35">
        <f>X106+X111+X116+X121+X126+X131+X136+X141+X146+X151+X156+X161+X166+X171+X176+X181+X186</f>
        <v>29730.74</v>
      </c>
      <c r="Y101" s="36">
        <f t="shared" si="95"/>
        <v>0.133640841168784</v>
      </c>
      <c r="Z101" s="35">
        <f>Z106+Z111+Z116+Z121+Z126+Z131+Z136+Z141+Z146+Z151+Z156+Z161+Z166+Z171+Z176+Z181+Z186</f>
        <v>33454.62</v>
      </c>
      <c r="AA101" s="36">
        <f t="shared" si="96"/>
        <v>0.161716366444681</v>
      </c>
      <c r="AB101" s="35">
        <f>AB106+AB111+AB116+AB121+AB126+AB131+AB136+AB141+AB146+AB151+AB156+AB161+AB166+AB171+AB176+AB181+AB186</f>
        <v>33451.83</v>
      </c>
      <c r="AC101" s="36">
        <f t="shared" si="97"/>
        <v>0.11008228096985</v>
      </c>
      <c r="AD101" s="35">
        <f>AD106+AD111+AD116+AD121+AD126+AD131+AD136+AD141+AD146+AD151+AD156+AD161+AD166+AD171+AD176+AD181+AD186</f>
        <v>34521.11</v>
      </c>
      <c r="AE101" s="36">
        <f t="shared" si="98"/>
        <v>0.153090564134425</v>
      </c>
      <c r="AF101" s="35">
        <f>AF106+AF111+AF116+AF121+AF126+AF131+AF136+AF141+AF146+AF151+AF156+AF161+AF166+AF171+AF176+AF181+AF186</f>
        <v>33385.31</v>
      </c>
      <c r="AG101" s="36">
        <f t="shared" si="99"/>
        <v>0.172016020855618</v>
      </c>
      <c r="AH101" s="35">
        <f>AH106+AH111+AH116+AH121+AH126+AH131+AH136+AH141+AH146+AH151+AH156+AH161+AH166+AH171+AH176+AH181+AH186</f>
        <v>30289.88</v>
      </c>
      <c r="AI101" s="36">
        <f t="shared" si="100"/>
        <v>0.0850983416808739</v>
      </c>
      <c r="AJ101" s="35">
        <f>AJ106+AJ111+AJ116+AJ121+AJ126+AJ131+AJ136+AJ141+AJ146+AJ151+AJ156+AJ161+AJ166+AJ171+AJ176+AJ181+AJ186</f>
        <v>27467.14</v>
      </c>
      <c r="AK101" s="36">
        <f t="shared" si="101"/>
        <v>0.0211090837984009</v>
      </c>
      <c r="AL101" s="35">
        <f>AL106+AL111+AL116+AL121+AL126+AL131+AL136+AL141+AL146+AL151+AL156+AL161+AL166+AL171+AL176+AL181+AL186</f>
        <v>28395.26</v>
      </c>
      <c r="AM101" s="36">
        <f t="shared" si="102"/>
        <v>-0.0162716430382325</v>
      </c>
      <c r="AN101" s="35">
        <f>AN106+AN111+AN116+AN121+AN126+AN131+AN136+AN141+AN146+AN151+AN156+AN161+AN166+AN171+AN176+AN181+AN186</f>
        <v>28034.41</v>
      </c>
      <c r="AO101" s="36">
        <f t="shared" si="103"/>
        <v>-0.0530534307310978</v>
      </c>
      <c r="AP101" s="35">
        <f>AP106+AP111+AP116+AP121+AP126+AP131+AP136+AP141+AP146+AP151+AP156+AP161+AP166+AP171+AP176+AP181+AP186</f>
        <v>27939.59</v>
      </c>
      <c r="AQ101" s="36">
        <f t="shared" si="104"/>
        <v>-0.0399092951820539</v>
      </c>
      <c r="AR101" s="35">
        <f>AR106+AR111+AR116+AR121+AR126+AR131+AR136+AR141+AR146+AR151+AR156+AR161+AR166+AR171+AR176+AR181+AR186</f>
        <v>27005.38</v>
      </c>
      <c r="AS101" s="36">
        <f t="shared" si="105"/>
        <v>-0.0760919358552368</v>
      </c>
      <c r="AT101" s="35">
        <f t="shared" si="106"/>
        <v>363610.75</v>
      </c>
      <c r="AU101" s="36">
        <f t="shared" si="107"/>
        <v>0.0525847515547893</v>
      </c>
      <c r="AV101" s="37"/>
      <c r="AW101" s="35">
        <f>AW106+AW111+AW116+AW121+AW126+AW131+AW136+AW141+AW146+AW151+AW156+AW161+AW166+AW171+AW176+AW181+AW186</f>
        <v>30250.06</v>
      </c>
      <c r="AX101" s="36">
        <f>AW101/BX101-1</f>
        <v>0.484728189754267</v>
      </c>
      <c r="AY101" s="35">
        <f>AY106+AY111+AY116+AY121+AY126+AY131+AY136+AY141+AY146+AY151+AY156+AY161+AY166+AY171+AY176+AY181+AY186</f>
        <v>26225.89</v>
      </c>
      <c r="AZ101" s="36">
        <f>AY101/BY101-1</f>
        <v>-0.0570656375098604</v>
      </c>
      <c r="BA101" s="35">
        <f>BA106+BA111+BA116+BA121+BA126+BA131+BA136+BA141+BA146+BA151+BA156+BA161+BA166+BA171+BA176+BA181+BA186</f>
        <v>28797.58</v>
      </c>
      <c r="BB101" s="36">
        <f>BA101/BZ101-1</f>
        <v>0.00924129167106202</v>
      </c>
      <c r="BC101" s="35">
        <f>BC106+BC111+BC116+BC121+BC126+BC131+BC136+BC141+BC146+BC151+BC156+BC161+BC166+BC171+BC176+BC181+BC186</f>
        <v>30134.55</v>
      </c>
      <c r="BD101" s="36">
        <f>BC101/CA101-1</f>
        <v>-0.0219087912676427</v>
      </c>
      <c r="BE101" s="35">
        <f>BE106+BE111+BE116+BE121+BE126+BE131+BE136+BE141+BE146+BE151+BE156+BE161+BE166+BE171+BE176+BE181+BE186</f>
        <v>29937.9</v>
      </c>
      <c r="BF101" s="36">
        <f>BE101/CB101-1</f>
        <v>-0.0151096203300372</v>
      </c>
      <c r="BG101" s="35">
        <f>BG106+BG111+BG116+BG121+BG126+BG131+BG136+BG141+BG146+BG151+BG156+BG161+BG166+BG171+BG176+BG181+BG186</f>
        <v>28485.37</v>
      </c>
      <c r="BH101" s="36">
        <f>BG101/CC101-1</f>
        <v>-0.0300729657589729</v>
      </c>
      <c r="BI101" s="35">
        <f>BI106+BI111+BI116+BI121+BI126+BI131+BI136+BI141+BI146+BI151+BI156+BI161+BI166+BI171+BI176+BI181+BI186</f>
        <v>27914.41</v>
      </c>
      <c r="BJ101" s="36">
        <f>BI101/CD101-1</f>
        <v>-0.0173632745534128</v>
      </c>
      <c r="BK101" s="35">
        <f>BK106+BK111+BK116+BK121+BK126+BK131+BK136+BK141+BK146+BK151+BK156+BK161+BK166+BK171+BK176+BK181+BK186</f>
        <v>26899.32</v>
      </c>
      <c r="BL101" s="36">
        <f>BK101/CE101-1</f>
        <v>-0.0396893227175268</v>
      </c>
      <c r="BM101" s="35">
        <f>BM106+BM111+BM116+BM121+BM126+BM131+BM136+BM141+BM146+BM151+BM156+BM161+BM166+BM171+BM176+BM181+BM186</f>
        <v>28864.94</v>
      </c>
      <c r="BN101" s="36">
        <f>BM101/CF101-1</f>
        <v>0.00994375932883451</v>
      </c>
      <c r="BO101" s="35">
        <f>BO106+BO111+BO116+BO121+BO126+BO131+BO136+BO141+BO146+BO151+BO156+BO161+BO166+BO171+BO176+BO181+BO186</f>
        <v>29605.06</v>
      </c>
      <c r="BP101" s="36">
        <f>BO101/CG101-1</f>
        <v>-0.0476158919305997</v>
      </c>
      <c r="BQ101" s="35">
        <f>BQ106+BQ111+BQ116+BQ121+BQ126+BQ131+BQ136+BQ141+BQ146+BQ151+BQ156+BQ161+BQ166+BQ171+BQ176+BQ181+BQ186</f>
        <v>29100.99</v>
      </c>
      <c r="BR101" s="36">
        <f>BQ101/CH101-1</f>
        <v>-0.090552568960959</v>
      </c>
      <c r="BS101" s="35">
        <f>BS106+BS111+BS116+BS121+BS126+BS131+BS136+BS141+BS146+BS151+BS156+BS161+BS166+BS171+BS176+BS181+BS186</f>
        <v>29229.51</v>
      </c>
      <c r="BT101" s="36">
        <f>BS101/CI101-1</f>
        <v>-0.107071634645346</v>
      </c>
      <c r="BU101" s="35">
        <f t="shared" si="108"/>
        <v>345445.58</v>
      </c>
      <c r="BV101" s="36">
        <f>BU101/CJ101-1</f>
        <v>-0.00766550502629804</v>
      </c>
      <c r="BW101" s="40"/>
      <c r="BX101" s="41">
        <v>20374.14</v>
      </c>
      <c r="BY101" s="41">
        <v>27813.06</v>
      </c>
      <c r="BZ101" s="41">
        <v>28533.89</v>
      </c>
      <c r="CA101" s="41">
        <v>30809.55</v>
      </c>
      <c r="CB101" s="41">
        <v>30397.19</v>
      </c>
      <c r="CC101" s="41">
        <v>29368.57</v>
      </c>
      <c r="CD101" s="41">
        <v>28407.66</v>
      </c>
      <c r="CE101" s="41">
        <v>28011.06</v>
      </c>
      <c r="CF101" s="41">
        <v>28580.74</v>
      </c>
      <c r="CG101" s="41">
        <v>31085.21</v>
      </c>
      <c r="CH101" s="41">
        <v>31998.54</v>
      </c>
      <c r="CI101" s="41">
        <v>32734.44</v>
      </c>
      <c r="CJ101" s="35">
        <f>BX101+BY101+BZ101+CA101+CB101+CC101+CD101+CE101+CF101+CG101+CH101+CI101</f>
        <v>348114.05</v>
      </c>
    </row>
    <row r="102" ht="28.8" customHeight="1" spans="1:88">
      <c r="A102" s="27"/>
      <c r="B102" s="34" t="s">
        <v>303</v>
      </c>
      <c r="C102" s="35">
        <f>C107+C112+C117+C122+C127+C132+C137+C142+C147+C152+C157+C162+C167+C172+C177+C182+C187</f>
        <v>7393.31</v>
      </c>
      <c r="D102" s="36">
        <f t="shared" si="85"/>
        <v>-0.0497873581905975</v>
      </c>
      <c r="E102" s="35">
        <f>E107+E112+E117+E122+E127+E132+E137+E142+E147+E152+E157+E162+E167+E172+E177+E182+E187</f>
        <v>7424.72</v>
      </c>
      <c r="F102" s="36">
        <f t="shared" si="86"/>
        <v>-0.0218185507085989</v>
      </c>
      <c r="G102" s="35">
        <f>G107+G112+G117+G122+G127+G132+G137+G142+G147+G152+G157+G162+G167+G172+G177+G182+G187</f>
        <v>7017.04</v>
      </c>
      <c r="H102" s="36">
        <f t="shared" si="87"/>
        <v>-0.0294805530698365</v>
      </c>
      <c r="I102" s="35">
        <f>I107+I112+I117+I122+I127+I132+I137+I142+I147+I152+I157+I162+I167+I172+I177+I182+I187</f>
        <v>6880.66</v>
      </c>
      <c r="J102" s="36">
        <f t="shared" si="88"/>
        <v>-0.0323771004754679</v>
      </c>
      <c r="K102" s="35">
        <f>K107+K112+K117+K122+K127+K132+K137+K142+K147+K152+K157+K162+K167+K172+K177+K182+K187</f>
        <v>7052.96</v>
      </c>
      <c r="L102" s="36">
        <f t="shared" si="89"/>
        <v>-0.0878420934873391</v>
      </c>
      <c r="M102" s="35">
        <f>M107+M112+M117+M122+M127+M132+M137+M142+M147+M152+M157+M162+M167+M172+M177+M182+M187</f>
        <v>6971.69</v>
      </c>
      <c r="N102" s="36">
        <f t="shared" si="90"/>
        <v>-0.0484231129358517</v>
      </c>
      <c r="O102" s="35">
        <f>O107+O112+O117+O122+O127+O132+O137+O142+O147+O152+O157+O162+O167+O172+O177+O182+O187</f>
        <v>6814.47</v>
      </c>
      <c r="P102" s="36">
        <f t="shared" si="91"/>
        <v>-0.119006125419846</v>
      </c>
      <c r="Q102" s="127"/>
      <c r="R102" s="127"/>
      <c r="S102" s="131">
        <f t="shared" si="92"/>
        <v>49554.85</v>
      </c>
      <c r="T102" s="132">
        <f t="shared" si="93"/>
        <v>-0.175566515870829</v>
      </c>
      <c r="U102" s="35"/>
      <c r="V102" s="35">
        <f>V107+V112+V117+V122+V127+V132+V137+V142+V147+V152+V157+V162+V167+V172+V177+V182+V187</f>
        <v>7780.69</v>
      </c>
      <c r="W102" s="36">
        <f t="shared" si="94"/>
        <v>-0.104975458026726</v>
      </c>
      <c r="X102" s="35">
        <f>X107+X112+X117+X122+X127+X132+X137+X142+X147+X152+X157+X162+X167+X172+X177+X182+X187</f>
        <v>7590.33</v>
      </c>
      <c r="Y102" s="36">
        <f t="shared" si="95"/>
        <v>-0.0268321108363109</v>
      </c>
      <c r="Z102" s="35">
        <f>Z107+Z112+Z117+Z122+Z127+Z132+Z137+Z142+Z147+Z152+Z157+Z162+Z167+Z172+Z177+Z182+Z187</f>
        <v>7230.19</v>
      </c>
      <c r="AA102" s="36">
        <f t="shared" si="96"/>
        <v>0.0197599748381192</v>
      </c>
      <c r="AB102" s="35">
        <f>AB107+AB112+AB117+AB122+AB127+AB132+AB137+AB142+AB147+AB152+AB157+AB162+AB167+AB172+AB177+AB182+AB187</f>
        <v>7110.89</v>
      </c>
      <c r="AC102" s="36">
        <f t="shared" si="97"/>
        <v>-0.00908710859659145</v>
      </c>
      <c r="AD102" s="35">
        <f>AD107+AD112+AD117+AD122+AD127+AD132+AD137+AD142+AD147+AD152+AD157+AD162+AD167+AD172+AD177+AD182+AD187</f>
        <v>7732.17</v>
      </c>
      <c r="AE102" s="36">
        <f t="shared" si="98"/>
        <v>0.0927642001811813</v>
      </c>
      <c r="AF102" s="35">
        <f>AF107+AF112+AF117+AF122+AF127+AF132+AF137+AF142+AF147+AF152+AF157+AF162+AF167+AF172+AF177+AF182+AF187</f>
        <v>7326.46</v>
      </c>
      <c r="AG102" s="36">
        <f t="shared" si="99"/>
        <v>0.0516640972419595</v>
      </c>
      <c r="AH102" s="35">
        <f>AH107+AH112+AH117+AH122+AH127+AH132+AH137+AH142+AH147+AH152+AH157+AH162+AH167+AH172+AH177+AH182+AH187</f>
        <v>7734.98</v>
      </c>
      <c r="AI102" s="36">
        <f t="shared" si="100"/>
        <v>0.0157157301747797</v>
      </c>
      <c r="AJ102" s="35">
        <f>AJ107+AJ112+AJ117+AJ122+AJ127+AJ132+AJ137+AJ142+AJ147+AJ152+AJ157+AJ162+AJ167+AJ172+AJ177+AJ182+AJ187</f>
        <v>7602.05</v>
      </c>
      <c r="AK102" s="36">
        <f t="shared" si="101"/>
        <v>0.0473451449355231</v>
      </c>
      <c r="AL102" s="35">
        <f>AL107+AL112+AL117+AL122+AL127+AL132+AL137+AL142+AL147+AL152+AL157+AL162+AL167+AL172+AL177+AL182+AL187</f>
        <v>7505.9</v>
      </c>
      <c r="AM102" s="36">
        <f t="shared" si="102"/>
        <v>0.0531935791659648</v>
      </c>
      <c r="AN102" s="35">
        <f>AN107+AN112+AN117+AN122+AN127+AN132+AN137+AN142+AN147+AN152+AN157+AN162+AN167+AN172+AN177+AN182+AN187</f>
        <v>7971.25</v>
      </c>
      <c r="AO102" s="36">
        <f t="shared" si="103"/>
        <v>0.0758264479540907</v>
      </c>
      <c r="AP102" s="35">
        <f>AP107+AP112+AP117+AP122+AP127+AP132+AP137+AP142+AP147+AP152+AP157+AP162+AP167+AP172+AP177+AP182+AP187</f>
        <v>7440.63</v>
      </c>
      <c r="AQ102" s="36">
        <f t="shared" si="104"/>
        <v>0.0511635989133243</v>
      </c>
      <c r="AR102" s="35">
        <f>AR107+AR112+AR117+AR122+AR127+AR132+AR137+AR142+AR147+AR152+AR157+AR162+AR167+AR172+AR177+AR182+AR187</f>
        <v>7698.59</v>
      </c>
      <c r="AS102" s="36">
        <f t="shared" si="105"/>
        <v>0.0953607954060405</v>
      </c>
      <c r="AT102" s="35">
        <f t="shared" si="106"/>
        <v>90724.13</v>
      </c>
      <c r="AU102" s="36">
        <f t="shared" si="107"/>
        <v>0.0272421920069654</v>
      </c>
      <c r="AV102" s="37"/>
      <c r="AW102" s="35">
        <f>AW107+AW112+AW117+AW122+AW127+AW132+AW137+AW142+AW147+AW152+AW157+AW162+AW167+AW172+AW177+AW182+AW187</f>
        <v>8693.27</v>
      </c>
      <c r="AX102" s="36">
        <f>AW102/BX102-1</f>
        <v>0.0489768780965756</v>
      </c>
      <c r="AY102" s="35">
        <f>AY107+AY112+AY117+AY122+AY127+AY132+AY137+AY142+AY147+AY152+AY157+AY162+AY167+AY172+AY177+AY182+AY187</f>
        <v>7799.61</v>
      </c>
      <c r="AZ102" s="36">
        <f>AY102/BY102-1</f>
        <v>-0.0472013193256782</v>
      </c>
      <c r="BA102" s="35">
        <f>BA107+BA112+BA117+BA122+BA127+BA132+BA137+BA142+BA147+BA152+BA157+BA162+BA167+BA172+BA177+BA182+BA187</f>
        <v>7090.09</v>
      </c>
      <c r="BB102" s="36">
        <f>BA102/BZ102-1</f>
        <v>-0.0877721852532333</v>
      </c>
      <c r="BC102" s="35">
        <f>BC107+BC112+BC117+BC122+BC127+BC132+BC137+BC142+BC147+BC152+BC157+BC162+BC167+BC172+BC177+BC182+BC187</f>
        <v>7176.1</v>
      </c>
      <c r="BD102" s="36">
        <f>BC102/CA102-1</f>
        <v>-0.121388910995341</v>
      </c>
      <c r="BE102" s="35">
        <f>BE107+BE112+BE117+BE122+BE127+BE132+BE137+BE142+BE147+BE152+BE157+BE162+BE167+BE172+BE177+BE182+BE187</f>
        <v>7075.79</v>
      </c>
      <c r="BF102" s="36">
        <f>BE102/CB102-1</f>
        <v>-0.14400726816982</v>
      </c>
      <c r="BG102" s="35">
        <f>BG107+BG112+BG117+BG122+BG127+BG132+BG137+BG142+BG147+BG152+BG157+BG162+BG167+BG172+BG177+BG182+BG187</f>
        <v>6966.54</v>
      </c>
      <c r="BH102" s="36">
        <f>BG102/CC102-1</f>
        <v>-0.13059094267287</v>
      </c>
      <c r="BI102" s="35">
        <f>BI107+BI112+BI117+BI122+BI127+BI132+BI137+BI142+BI147+BI152+BI157+BI162+BI167+BI172+BI177+BI182+BI187</f>
        <v>7615.3</v>
      </c>
      <c r="BJ102" s="36">
        <f>BI102/CD102-1</f>
        <v>-0.073106668257071</v>
      </c>
      <c r="BK102" s="35">
        <f>BK107+BK112+BK117+BK122+BK127+BK132+BK137+BK142+BK147+BK152+BK157+BK162+BK167+BK172+BK177+BK182+BK187</f>
        <v>7258.4</v>
      </c>
      <c r="BL102" s="36">
        <f>BK102/CE102-1</f>
        <v>-0.116096914668719</v>
      </c>
      <c r="BM102" s="35">
        <f>BM107+BM112+BM117+BM122+BM127+BM132+BM137+BM142+BM147+BM152+BM157+BM162+BM167+BM172+BM177+BM182+BM187</f>
        <v>7126.8</v>
      </c>
      <c r="BN102" s="36">
        <f>BM102/CF102-1</f>
        <v>-0.107030313205973</v>
      </c>
      <c r="BO102" s="35">
        <f>BO107+BO112+BO117+BO122+BO127+BO132+BO137+BO142+BO147+BO152+BO157+BO162+BO167+BO172+BO177+BO182+BO187</f>
        <v>7409.42</v>
      </c>
      <c r="BP102" s="36">
        <f>BO102/CG102-1</f>
        <v>-0.10141577508653</v>
      </c>
      <c r="BQ102" s="35">
        <f>BQ107+BQ112+BQ117+BQ122+BQ127+BQ132+BQ137+BQ142+BQ147+BQ152+BQ157+BQ162+BQ167+BQ172+BQ177+BQ182+BQ187</f>
        <v>7078.47</v>
      </c>
      <c r="BR102" s="36">
        <f>BQ102/CH102-1</f>
        <v>-0.0979749748639979</v>
      </c>
      <c r="BS102" s="35">
        <f>BS107+BS112+BS117+BS122+BS127+BS132+BS137+BS142+BS147+BS152+BS157+BS162+BS167+BS172+BS177+BS182+BS187</f>
        <v>7028.36</v>
      </c>
      <c r="BT102" s="36">
        <f>BS102/CI102-1</f>
        <v>-0.119592939066124</v>
      </c>
      <c r="BU102" s="35">
        <f t="shared" si="108"/>
        <v>88318.15</v>
      </c>
      <c r="BV102" s="36">
        <f>BU102/CJ102-1</f>
        <v>-0.0911630321173369</v>
      </c>
      <c r="BW102" s="40"/>
      <c r="BX102" s="41">
        <v>8287.38</v>
      </c>
      <c r="BY102" s="41">
        <v>8186</v>
      </c>
      <c r="BZ102" s="41">
        <v>7772.28</v>
      </c>
      <c r="CA102" s="41">
        <v>8167.55</v>
      </c>
      <c r="CB102" s="41">
        <v>8266.18</v>
      </c>
      <c r="CC102" s="41">
        <v>8012.96</v>
      </c>
      <c r="CD102" s="41">
        <v>8215.94</v>
      </c>
      <c r="CE102" s="41">
        <v>8211.76</v>
      </c>
      <c r="CF102" s="41">
        <v>7981.01</v>
      </c>
      <c r="CG102" s="41">
        <v>8245.66</v>
      </c>
      <c r="CH102" s="41">
        <v>7847.31</v>
      </c>
      <c r="CI102" s="41">
        <v>7983.07999999999</v>
      </c>
      <c r="CJ102" s="35">
        <f>BX102+BY102+BZ102+CA102+CB102+CC102+CD102+CE102+CF102+CG102+CH102+CI102</f>
        <v>97177.11</v>
      </c>
    </row>
    <row r="103" ht="28.8" customHeight="1" spans="1:88">
      <c r="A103" s="42"/>
      <c r="B103" s="34" t="s">
        <v>304</v>
      </c>
      <c r="C103" s="35">
        <f>C108+C113+C118+C123+C128+C133+C138+C143+C148+C153+C158+C163+C168+C173+C178+C183+C188</f>
        <v>4600.03</v>
      </c>
      <c r="D103" s="36">
        <f t="shared" si="85"/>
        <v>0.698650320341204</v>
      </c>
      <c r="E103" s="35">
        <f>E108+E113+E118+E123+E128+E133+E138+E143+E148+E153+E158+E163+E168+E173+E178+E183+E188</f>
        <v>3971.74</v>
      </c>
      <c r="F103" s="36">
        <f t="shared" si="86"/>
        <v>0.539631038078512</v>
      </c>
      <c r="G103" s="35">
        <f>G108+G113+G118+G123+G128+G133+G138+G143+G148+G153+G158+G163+G168+G173+G178+G183+G188</f>
        <v>4740.57</v>
      </c>
      <c r="H103" s="36">
        <f t="shared" si="87"/>
        <v>0.640307261120047</v>
      </c>
      <c r="I103" s="35">
        <f>I108+I113+I118+I123+I128+I133+I138+I143+I148+I153+I158+I163+I168+I173+I178+I183+I188</f>
        <v>4626.39000000001</v>
      </c>
      <c r="J103" s="36">
        <f t="shared" si="88"/>
        <v>0.43552325779837</v>
      </c>
      <c r="K103" s="35">
        <f>K108+K113+K118+K123+K128+K133+K138+K143+K148+K153+K158+K163+K168+K173+K178+K183+K188</f>
        <v>5032.30999999999</v>
      </c>
      <c r="L103" s="36">
        <f t="shared" si="89"/>
        <v>0.394679370991784</v>
      </c>
      <c r="M103" s="35">
        <f>M108+M113+M118+M123+M128+M133+M138+M143+M148+M153+M158+M163+M168+M173+M178+M183+M188</f>
        <v>5191.15999999999</v>
      </c>
      <c r="N103" s="36">
        <f t="shared" si="90"/>
        <v>0.502732683356106</v>
      </c>
      <c r="O103" s="35">
        <f>O108+O113+O118+O123+O128+O133+O138+O143+O148+O153+O158+O163+O168+O173+O178+O183+O188</f>
        <v>5642.40999999999</v>
      </c>
      <c r="P103" s="36">
        <f t="shared" si="91"/>
        <v>0.525726168006965</v>
      </c>
      <c r="Q103" s="127"/>
      <c r="R103" s="127"/>
      <c r="S103" s="131">
        <f t="shared" si="92"/>
        <v>33804.61</v>
      </c>
      <c r="T103" s="132">
        <f t="shared" si="93"/>
        <v>0.308280090111951</v>
      </c>
      <c r="U103" s="35"/>
      <c r="V103" s="35">
        <f>V108+V113+V118+V123+V128+V133+V138+V143+V148+V153+V158+V163+V168+V173+V178+V183+V188</f>
        <v>2708.05</v>
      </c>
      <c r="W103" s="36">
        <f t="shared" si="94"/>
        <v>-0.23336824821651</v>
      </c>
      <c r="X103" s="35">
        <f>X108+X113+X118+X123+X128+X133+X138+X143+X148+X153+X158+X163+X168+X173+X178+X183+X188</f>
        <v>2579.67</v>
      </c>
      <c r="Y103" s="36">
        <f t="shared" si="95"/>
        <v>0.148689747300457</v>
      </c>
      <c r="Z103" s="35">
        <f>Z108+Z113+Z118+Z123+Z128+Z133+Z138+Z143+Z148+Z153+Z158+Z163+Z168+Z173+Z178+Z183+Z188</f>
        <v>2890.05</v>
      </c>
      <c r="AA103" s="36">
        <f t="shared" si="96"/>
        <v>0.0262998093033058</v>
      </c>
      <c r="AB103" s="35">
        <f>AB108+AB113+AB118+AB123+AB128+AB133+AB138+AB143+AB148+AB153+AB158+AB163+AB168+AB173+AB178+AB183+AB188</f>
        <v>3222.79</v>
      </c>
      <c r="AC103" s="36">
        <f t="shared" si="97"/>
        <v>-0.00117771393328514</v>
      </c>
      <c r="AD103" s="35">
        <f>AD108+AD113+AD118+AD123+AD128+AD133+AD138+AD143+AD148+AD153+AD158+AD163+AD168+AD173+AD178+AD183+AD188</f>
        <v>3608.22000000001</v>
      </c>
      <c r="AE103" s="36">
        <f t="shared" si="98"/>
        <v>0.0950392405601128</v>
      </c>
      <c r="AF103" s="35">
        <f>AF108+AF113+AF118+AF123+AF128+AF133+AF138+AF143+AF148+AF153+AF158+AF163+AF168+AF173+AF178+AF183+AF188</f>
        <v>3454.47999999999</v>
      </c>
      <c r="AG103" s="36">
        <f t="shared" si="99"/>
        <v>0.00238519438463647</v>
      </c>
      <c r="AH103" s="35">
        <f>AH108+AH113+AH118+AH123+AH128+AH133+AH138+AH143+AH148+AH153+AH158+AH163+AH168+AH173+AH178+AH183+AH188</f>
        <v>3698.18</v>
      </c>
      <c r="AI103" s="36">
        <f t="shared" si="100"/>
        <v>-0.0339460781112466</v>
      </c>
      <c r="AJ103" s="35">
        <f>AJ108+AJ113+AJ118+AJ123+AJ128+AJ133+AJ138+AJ143+AJ148+AJ153+AJ158+AJ163+AJ168+AJ173+AJ178+AJ183+AJ188</f>
        <v>3677.52999999999</v>
      </c>
      <c r="AK103" s="36">
        <f t="shared" si="101"/>
        <v>-0.0408236720960893</v>
      </c>
      <c r="AL103" s="35">
        <f>AL108+AL113+AL118+AL123+AL128+AL133+AL138+AL143+AL148+AL153+AL158+AL163+AL168+AL173+AL178+AL183+AL188</f>
        <v>3395.99</v>
      </c>
      <c r="AM103" s="36">
        <f t="shared" si="102"/>
        <v>-0.0518099705434811</v>
      </c>
      <c r="AN103" s="35">
        <f>AN108+AN113+AN118+AN123+AN128+AN133+AN138+AN143+AN148+AN153+AN158+AN163+AN168+AN173+AN178+AN183+AN188</f>
        <v>4115.25999999999</v>
      </c>
      <c r="AO103" s="36">
        <f t="shared" si="103"/>
        <v>0.125996984762376</v>
      </c>
      <c r="AP103" s="35">
        <f>AP108+AP113+AP118+AP123+AP128+AP133+AP138+AP143+AP148+AP153+AP158+AP163+AP168+AP173+AP178+AP183+AP188</f>
        <v>3865.69</v>
      </c>
      <c r="AQ103" s="36">
        <f t="shared" si="104"/>
        <v>0.0477657977048116</v>
      </c>
      <c r="AR103" s="35">
        <f>AR108+AR113+AR118+AR123+AR128+AR133+AR138+AR143+AR148+AR153+AR158+AR163+AR168+AR173+AR178+AR183+AR188</f>
        <v>4441.44000000002</v>
      </c>
      <c r="AS103" s="36">
        <f t="shared" si="105"/>
        <v>0.137905856009348</v>
      </c>
      <c r="AT103" s="35">
        <f t="shared" si="106"/>
        <v>41657.35</v>
      </c>
      <c r="AU103" s="36">
        <f t="shared" si="107"/>
        <v>0.0147167649375759</v>
      </c>
      <c r="AV103" s="37"/>
      <c r="AW103" s="35">
        <f>AW108+AW113+AW118+AW123+AW128+AW133+AW138+AW143+AW148+AW153+AW158+AW163+AW168+AW173+AW178+AW183+AW188</f>
        <v>3532.4</v>
      </c>
      <c r="AX103" s="36">
        <f>AW103/BX103-1</f>
        <v>0.658411541838225</v>
      </c>
      <c r="AY103" s="35">
        <f>AY108+AY113+AY118+AY123+AY128+AY133+AY138+AY143+AY148+AY153+AY158+AY163+AY168+AY173+AY178+AY183+AY188</f>
        <v>2245.75</v>
      </c>
      <c r="AZ103" s="36">
        <f>AY103/BY103-1</f>
        <v>-0.0159024381693572</v>
      </c>
      <c r="BA103" s="35">
        <f>BA108+BA113+BA118+BA123+BA128+BA133+BA138+BA143+BA148+BA153+BA158+BA163+BA168+BA173+BA178+BA183+BA188</f>
        <v>2815.98999999999</v>
      </c>
      <c r="BB103" s="36">
        <f>BA103/BZ103-1</f>
        <v>0.202114807494455</v>
      </c>
      <c r="BC103" s="35">
        <f>BC108+BC113+BC118+BC123+BC128+BC133+BC138+BC143+BC148+BC153+BC158+BC163+BC168+BC173+BC178+BC183+BC188</f>
        <v>3226.59</v>
      </c>
      <c r="BD103" s="36">
        <f>BC103/CA103-1</f>
        <v>0.309758473716256</v>
      </c>
      <c r="BE103" s="35">
        <f>BE108+BE113+BE118+BE123+BE128+BE133+BE138+BE143+BE148+BE153+BE158+BE163+BE168+BE173+BE178+BE183+BE188</f>
        <v>3295.06</v>
      </c>
      <c r="BF103" s="36">
        <f>BE103/CB103-1</f>
        <v>0.283872978764856</v>
      </c>
      <c r="BG103" s="35">
        <f>BG108+BG113+BG118+BG123+BG128+BG133+BG138+BG143+BG148+BG153+BG158+BG163+BG168+BG173+BG178+BG183+BG188</f>
        <v>3446.26</v>
      </c>
      <c r="BH103" s="36">
        <f>BG103/CC103-1</f>
        <v>0.294861149205895</v>
      </c>
      <c r="BI103" s="35">
        <f>BI108+BI113+BI118+BI123+BI128+BI133+BI138+BI143+BI148+BI153+BI158+BI163+BI168+BI173+BI178+BI183+BI188</f>
        <v>3828.13</v>
      </c>
      <c r="BJ103" s="36">
        <f>BI103/CD103-1</f>
        <v>0.336632902818078</v>
      </c>
      <c r="BK103" s="35">
        <f>BK108+BK113+BK118+BK123+BK128+BK133+BK138+BK143+BK148+BK153+BK158+BK163+BK168+BK173+BK178+BK183+BK188</f>
        <v>3834.05</v>
      </c>
      <c r="BL103" s="36">
        <f>BK103/CE103-1</f>
        <v>0.332590697706749</v>
      </c>
      <c r="BM103" s="35">
        <f>BM108+BM113+BM118+BM123+BM128+BM133+BM138+BM143+BM148+BM153+BM158+BM163+BM168+BM173+BM178+BM183+BM188</f>
        <v>3581.55</v>
      </c>
      <c r="BN103" s="36">
        <f>BM103/CF103-1</f>
        <v>0.294932425103587</v>
      </c>
      <c r="BO103" s="35">
        <f>BO108+BO113+BO118+BO123+BO128+BO133+BO138+BO143+BO148+BO153+BO158+BO163+BO168+BO173+BO178+BO183+BO188</f>
        <v>3654.77</v>
      </c>
      <c r="BP103" s="36">
        <f>BO103/CG103-1</f>
        <v>0.294072033538228</v>
      </c>
      <c r="BQ103" s="35">
        <f>BQ108+BQ113+BQ118+BQ123+BQ128+BQ133+BQ138+BQ143+BQ148+BQ153+BQ158+BQ163+BQ168+BQ173+BQ178+BQ183+BQ188</f>
        <v>3689.46000000001</v>
      </c>
      <c r="BR103" s="36">
        <f>BQ103/CH103-1</f>
        <v>0.280929069888555</v>
      </c>
      <c r="BS103" s="35">
        <f>BS108+BS113+BS118+BS123+BS128+BS133+BS138+BS143+BS148+BS153+BS158+BS163+BS168+BS173+BS178+BS183+BS188</f>
        <v>3903.17000000001</v>
      </c>
      <c r="BT103" s="36">
        <f>BS103/CI103-1</f>
        <v>0.250783508193992</v>
      </c>
      <c r="BU103" s="35">
        <f t="shared" si="108"/>
        <v>41053.18</v>
      </c>
      <c r="BV103" s="36">
        <f>BU103/CJ103-1</f>
        <v>0.291868561218498</v>
      </c>
      <c r="BW103" s="40"/>
      <c r="BX103" s="41">
        <v>2129.99</v>
      </c>
      <c r="BY103" s="41">
        <v>2282.04</v>
      </c>
      <c r="BZ103" s="41">
        <v>2342.53</v>
      </c>
      <c r="CA103" s="41">
        <v>2463.5</v>
      </c>
      <c r="CB103" s="41">
        <v>2566.5</v>
      </c>
      <c r="CC103" s="41">
        <v>2661.49</v>
      </c>
      <c r="CD103" s="41">
        <v>2864.01</v>
      </c>
      <c r="CE103" s="41">
        <v>2877.14</v>
      </c>
      <c r="CF103" s="41">
        <v>2765.82</v>
      </c>
      <c r="CG103" s="41">
        <v>2824.24</v>
      </c>
      <c r="CH103" s="41">
        <v>2880.3</v>
      </c>
      <c r="CI103" s="41">
        <v>3120.58</v>
      </c>
      <c r="CJ103" s="35">
        <f>BX103+BY103+BZ103+CA103+CB103+CC103+CD103+CE103+CF103+CG103+CH103+CI103</f>
        <v>31778.14</v>
      </c>
    </row>
    <row r="104" s="15" customFormat="1" ht="28.8" customHeight="1" spans="1:88">
      <c r="A104" s="43" t="s">
        <v>87</v>
      </c>
      <c r="B104" s="34" t="s">
        <v>300</v>
      </c>
      <c r="C104" s="35">
        <f>C105+C106+C107+C108</f>
        <v>16223.3155</v>
      </c>
      <c r="D104" s="36">
        <f t="shared" si="85"/>
        <v>0.248194651920381</v>
      </c>
      <c r="E104" s="35">
        <f>E105+E106+E107+E108</f>
        <v>14192.4661</v>
      </c>
      <c r="F104" s="36">
        <f t="shared" si="86"/>
        <v>-0.000661406355433991</v>
      </c>
      <c r="G104" s="35">
        <f>G105+G106+G107+G108</f>
        <v>19555.1537</v>
      </c>
      <c r="H104" s="36">
        <f t="shared" si="87"/>
        <v>0.00394127664800115</v>
      </c>
      <c r="I104" s="35">
        <f>I105+I106+I107+I108</f>
        <v>22085.2384</v>
      </c>
      <c r="J104" s="36">
        <f t="shared" si="88"/>
        <v>-0.0350863585328641</v>
      </c>
      <c r="K104" s="35">
        <f>K105+K106+K107+K108</f>
        <v>21521.8522</v>
      </c>
      <c r="L104" s="36">
        <f t="shared" si="89"/>
        <v>0.0650107893331051</v>
      </c>
      <c r="M104" s="35">
        <f>M105+M106+M107+M108</f>
        <v>19895.284</v>
      </c>
      <c r="N104" s="36">
        <f t="shared" si="90"/>
        <v>0.0724246399851258</v>
      </c>
      <c r="O104" s="35">
        <f>O105+O106+O107+O108</f>
        <v>19940.4276</v>
      </c>
      <c r="P104" s="36">
        <f t="shared" si="91"/>
        <v>0.0237284434635734</v>
      </c>
      <c r="Q104" s="127"/>
      <c r="R104" s="127"/>
      <c r="S104" s="131">
        <f t="shared" si="92"/>
        <v>133413.7375</v>
      </c>
      <c r="T104" s="132">
        <f t="shared" si="93"/>
        <v>-0.0878130924788316</v>
      </c>
      <c r="U104" s="35"/>
      <c r="V104" s="35">
        <f>V105+V106+V107+V108</f>
        <v>12997.4243</v>
      </c>
      <c r="W104" s="36">
        <f t="shared" si="94"/>
        <v>0.619947668810997</v>
      </c>
      <c r="X104" s="35">
        <f>X105+X106+X107+X108</f>
        <v>14201.8593</v>
      </c>
      <c r="Y104" s="36">
        <f t="shared" si="95"/>
        <v>0.572513539645123</v>
      </c>
      <c r="Z104" s="35">
        <f>Z105+Z106+Z107+Z108</f>
        <v>19478.384</v>
      </c>
      <c r="AA104" s="36">
        <f t="shared" si="96"/>
        <v>0.551680299298396</v>
      </c>
      <c r="AB104" s="35">
        <f>AB105+AB106+AB107+AB108</f>
        <v>22888.3057</v>
      </c>
      <c r="AC104" s="36">
        <f t="shared" si="97"/>
        <v>0.54583253221898</v>
      </c>
      <c r="AD104" s="35">
        <f>AD105+AD106+AD107+AD108</f>
        <v>20208.1072</v>
      </c>
      <c r="AE104" s="36">
        <f t="shared" si="98"/>
        <v>0.466902455757932</v>
      </c>
      <c r="AF104" s="35">
        <f>AF105+AF106+AF107+AF108</f>
        <v>18551.6849</v>
      </c>
      <c r="AG104" s="36">
        <f t="shared" si="99"/>
        <v>0.575547235949612</v>
      </c>
      <c r="AH104" s="35">
        <f>AH105+AH106+AH107+AH108</f>
        <v>19478.2393</v>
      </c>
      <c r="AI104" s="36">
        <f t="shared" si="100"/>
        <v>0.579405565040684</v>
      </c>
      <c r="AJ104" s="35">
        <f>AJ105+AJ106+AJ107+AJ108</f>
        <v>18453.0139</v>
      </c>
      <c r="AK104" s="36">
        <f t="shared" si="101"/>
        <v>0.685688578692462</v>
      </c>
      <c r="AL104" s="35">
        <f>AL105+AL106+AL107+AL108</f>
        <v>19973.3894</v>
      </c>
      <c r="AM104" s="36">
        <f t="shared" si="102"/>
        <v>0.743849216323871</v>
      </c>
      <c r="AN104" s="35">
        <f>AN105+AN106+AN107+AN108</f>
        <v>21606.9097</v>
      </c>
      <c r="AO104" s="36">
        <f t="shared" si="103"/>
        <v>0.0521528494889034</v>
      </c>
      <c r="AP104" s="35">
        <f>AP105+AP106+AP107+AP108</f>
        <v>21386.1168</v>
      </c>
      <c r="AQ104" s="36">
        <f t="shared" si="104"/>
        <v>0.130335430518873</v>
      </c>
      <c r="AR104" s="35">
        <f>AR105+AR106+AR107+AR108</f>
        <v>18833.626</v>
      </c>
      <c r="AS104" s="36">
        <f t="shared" si="105"/>
        <v>0.255537166184743</v>
      </c>
      <c r="AT104" s="35">
        <f t="shared" si="106"/>
        <v>228057.0605</v>
      </c>
      <c r="AU104" s="36">
        <f t="shared" si="107"/>
        <v>0.432927347517076</v>
      </c>
      <c r="AV104" s="37"/>
      <c r="AW104" s="38">
        <f>AW105+AW106+AW107+AW108</f>
        <v>8023.3606</v>
      </c>
      <c r="AX104" s="37"/>
      <c r="AY104" s="38">
        <f>AY105+AY106+AY107+AY108</f>
        <v>9031.3113</v>
      </c>
      <c r="AZ104" s="37"/>
      <c r="BA104" s="38">
        <f>BA105+BA106+BA107+BA108</f>
        <v>12553.091</v>
      </c>
      <c r="BB104" s="37"/>
      <c r="BC104" s="38">
        <f>BC105+BC106+BC107+BC108</f>
        <v>14806.4588</v>
      </c>
      <c r="BD104" s="37"/>
      <c r="BE104" s="38">
        <f>BE105+BE106+BE107+BE108</f>
        <v>13776.0402</v>
      </c>
      <c r="BF104" s="37"/>
      <c r="BG104" s="38">
        <f>BG105+BG106+BG107+BG108</f>
        <v>11774.7564</v>
      </c>
      <c r="BH104" s="37"/>
      <c r="BI104" s="38">
        <f>BI105+BI106+BI107+BI108</f>
        <v>12332.6394</v>
      </c>
      <c r="BJ104" s="37"/>
      <c r="BK104" s="38">
        <f>BK105+BK106+BK107+BK108</f>
        <v>10946.8701</v>
      </c>
      <c r="BL104" s="37"/>
      <c r="BM104" s="38">
        <f>BM105+BM106+BM107+BM108</f>
        <v>11453.6218</v>
      </c>
      <c r="BN104" s="37"/>
      <c r="BO104" s="38">
        <f>BO105+BO106+BO107+BO108</f>
        <v>20535.9038</v>
      </c>
      <c r="BP104" s="37"/>
      <c r="BQ104" s="38">
        <f>BQ105+BQ106+BQ107+BQ108</f>
        <v>18920.1508</v>
      </c>
      <c r="BR104" s="37"/>
      <c r="BS104" s="38">
        <f>BS105+BS106+BS107+BS108</f>
        <v>15000.4528</v>
      </c>
      <c r="BT104" s="37"/>
      <c r="BU104" s="38">
        <f t="shared" si="108"/>
        <v>159154.657</v>
      </c>
      <c r="BV104" s="37"/>
      <c r="BW104" s="39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</row>
    <row r="105" ht="28.8" customHeight="1" spans="1:88">
      <c r="A105" s="45"/>
      <c r="B105" s="34" t="s">
        <v>301</v>
      </c>
      <c r="C105" s="35">
        <f>班线包车!C9</f>
        <v>15634.2955</v>
      </c>
      <c r="D105" s="36">
        <f t="shared" si="85"/>
        <v>0.253039780263583</v>
      </c>
      <c r="E105" s="35">
        <f>班线包车!E9</f>
        <v>13762.8961</v>
      </c>
      <c r="F105" s="36">
        <f t="shared" si="86"/>
        <v>0.00302935663820847</v>
      </c>
      <c r="G105" s="35">
        <f>班线包车!G9</f>
        <v>18904.2637</v>
      </c>
      <c r="H105" s="36">
        <f t="shared" si="87"/>
        <v>0.0022293088181482</v>
      </c>
      <c r="I105" s="35">
        <f>班线包车!I9</f>
        <v>21448.6084</v>
      </c>
      <c r="J105" s="36">
        <f t="shared" si="88"/>
        <v>-0.0372618341517161</v>
      </c>
      <c r="K105" s="35">
        <f>班线包车!K9</f>
        <v>20903.5122</v>
      </c>
      <c r="L105" s="36">
        <f t="shared" si="89"/>
        <v>0.0643527344014612</v>
      </c>
      <c r="M105" s="35">
        <f>班线包车!M9</f>
        <v>19301.074</v>
      </c>
      <c r="N105" s="36">
        <f t="shared" si="90"/>
        <v>0.0721535342416146</v>
      </c>
      <c r="O105" s="35">
        <f>班线包车!O9</f>
        <v>19436.1776</v>
      </c>
      <c r="P105" s="36">
        <f t="shared" si="91"/>
        <v>0.0236717073751085</v>
      </c>
      <c r="Q105" s="127"/>
      <c r="R105" s="127"/>
      <c r="S105" s="131">
        <f t="shared" si="92"/>
        <v>129390.8275</v>
      </c>
      <c r="T105" s="132">
        <f t="shared" si="93"/>
        <v>-0.0884882860955066</v>
      </c>
      <c r="U105" s="35"/>
      <c r="V105" s="35">
        <f>班线包车!V9</f>
        <v>12477.0943</v>
      </c>
      <c r="W105" s="36">
        <f t="shared" si="94"/>
        <v>0.695796392130401</v>
      </c>
      <c r="X105" s="35">
        <f>班线包车!X9</f>
        <v>13721.3293</v>
      </c>
      <c r="Y105" s="36">
        <f t="shared" si="95"/>
        <v>0.596851205097959</v>
      </c>
      <c r="Z105" s="35">
        <f>班线包车!Z9</f>
        <v>18862.214</v>
      </c>
      <c r="AA105" s="36">
        <f t="shared" si="96"/>
        <v>0.594526529815541</v>
      </c>
      <c r="AB105" s="35">
        <f>班线包车!AB9</f>
        <v>22278.7557</v>
      </c>
      <c r="AC105" s="36">
        <f t="shared" si="97"/>
        <v>0.579840843844377</v>
      </c>
      <c r="AD105" s="35">
        <f>班线包车!AD9</f>
        <v>19639.6472</v>
      </c>
      <c r="AE105" s="36">
        <f t="shared" si="98"/>
        <v>0.499652714204078</v>
      </c>
      <c r="AF105" s="35">
        <f>班线包车!AF9</f>
        <v>18002.1549</v>
      </c>
      <c r="AG105" s="36">
        <f t="shared" si="99"/>
        <v>0.61426558936543</v>
      </c>
      <c r="AH105" s="35">
        <f>班线包车!AH9</f>
        <v>18986.7293</v>
      </c>
      <c r="AI105" s="36">
        <f t="shared" si="100"/>
        <v>0.614652434368805</v>
      </c>
      <c r="AJ105" s="35">
        <f>班线包车!AJ9</f>
        <v>17983.9839</v>
      </c>
      <c r="AK105" s="36">
        <f t="shared" si="101"/>
        <v>0.724806072074727</v>
      </c>
      <c r="AL105" s="35">
        <f>班线包车!AL9</f>
        <v>19399.7794</v>
      </c>
      <c r="AM105" s="36">
        <f t="shared" si="102"/>
        <v>0.789828873622603</v>
      </c>
      <c r="AN105" s="35">
        <f>班线包车!AN9</f>
        <v>21001.8897</v>
      </c>
      <c r="AO105" s="36">
        <f t="shared" si="103"/>
        <v>0.0562325799542138</v>
      </c>
      <c r="AP105" s="35">
        <f>班线包车!AP9</f>
        <v>20735.7868</v>
      </c>
      <c r="AQ105" s="36">
        <f t="shared" si="104"/>
        <v>0.134339670434614</v>
      </c>
      <c r="AR105" s="35">
        <f>班线包车!AR9</f>
        <v>18221.526</v>
      </c>
      <c r="AS105" s="36">
        <f t="shared" si="105"/>
        <v>0.269495257236862</v>
      </c>
      <c r="AT105" s="35">
        <f t="shared" si="106"/>
        <v>221310.8905</v>
      </c>
      <c r="AU105" s="36">
        <f t="shared" si="107"/>
        <v>0.459146405622463</v>
      </c>
      <c r="AV105" s="37"/>
      <c r="AW105" s="35">
        <v>7357.6606</v>
      </c>
      <c r="AX105" s="36"/>
      <c r="AY105" s="35">
        <v>8592.7413</v>
      </c>
      <c r="AZ105" s="36"/>
      <c r="BA105" s="35">
        <v>11829.351</v>
      </c>
      <c r="BB105" s="36"/>
      <c r="BC105" s="35">
        <v>14101.8988</v>
      </c>
      <c r="BD105" s="36"/>
      <c r="BE105" s="35">
        <v>13096.1302</v>
      </c>
      <c r="BF105" s="36"/>
      <c r="BG105" s="35">
        <v>11151.9164</v>
      </c>
      <c r="BH105" s="36"/>
      <c r="BI105" s="35">
        <v>11759.0194</v>
      </c>
      <c r="BJ105" s="36"/>
      <c r="BK105" s="35">
        <v>10426.6701</v>
      </c>
      <c r="BL105" s="36"/>
      <c r="BM105" s="35">
        <v>10838.9018</v>
      </c>
      <c r="BN105" s="36"/>
      <c r="BO105" s="35">
        <v>19883.7738</v>
      </c>
      <c r="BP105" s="36"/>
      <c r="BQ105" s="35">
        <v>18280.0508</v>
      </c>
      <c r="BR105" s="36"/>
      <c r="BS105" s="35">
        <v>14353.3628</v>
      </c>
      <c r="BT105" s="36"/>
      <c r="BU105" s="35">
        <f t="shared" si="108"/>
        <v>151671.477</v>
      </c>
      <c r="BV105" s="36"/>
      <c r="BW105" s="40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7"/>
    </row>
    <row r="106" ht="28.8" customHeight="1" spans="1:88">
      <c r="A106" s="45"/>
      <c r="B106" s="34" t="s">
        <v>302</v>
      </c>
      <c r="C106" s="35">
        <f>公交!C10-公交!C12</f>
        <v>589.02</v>
      </c>
      <c r="D106" s="36">
        <f t="shared" si="85"/>
        <v>0.132012376760907</v>
      </c>
      <c r="E106" s="35">
        <f>公交!E10-公交!E12</f>
        <v>429.57</v>
      </c>
      <c r="F106" s="36">
        <f t="shared" si="86"/>
        <v>-0.106049570266163</v>
      </c>
      <c r="G106" s="35">
        <f>公交!G10-公交!G12</f>
        <v>650.889999999999</v>
      </c>
      <c r="H106" s="36">
        <f t="shared" si="87"/>
        <v>0.0563480857555565</v>
      </c>
      <c r="I106" s="35">
        <f>公交!I10-公交!I12</f>
        <v>636.630000000001</v>
      </c>
      <c r="J106" s="36">
        <f t="shared" si="88"/>
        <v>0.0444262160610316</v>
      </c>
      <c r="K106" s="35">
        <f>公交!K10-公交!K12</f>
        <v>618.34</v>
      </c>
      <c r="L106" s="36">
        <f t="shared" si="89"/>
        <v>0.0877458396369157</v>
      </c>
      <c r="M106" s="35">
        <f>公交!M10-公交!M12</f>
        <v>594.209999999999</v>
      </c>
      <c r="N106" s="36">
        <f t="shared" si="90"/>
        <v>0.0813058431750704</v>
      </c>
      <c r="O106" s="35">
        <f>公交!O10-公交!O12</f>
        <v>504.25</v>
      </c>
      <c r="P106" s="36">
        <f t="shared" si="91"/>
        <v>0.0259201237004367</v>
      </c>
      <c r="Q106" s="127"/>
      <c r="R106" s="127"/>
      <c r="S106" s="131">
        <f t="shared" si="92"/>
        <v>4022.91</v>
      </c>
      <c r="T106" s="132">
        <f t="shared" si="93"/>
        <v>-0.0655500091751424</v>
      </c>
      <c r="U106" s="35"/>
      <c r="V106" s="35">
        <f>公交!V10-公交!V12</f>
        <v>520.329999999998</v>
      </c>
      <c r="W106" s="36">
        <f t="shared" si="94"/>
        <v>-0.21837163887637</v>
      </c>
      <c r="X106" s="35">
        <f>公交!X10-公交!X12</f>
        <v>480.529999999999</v>
      </c>
      <c r="Y106" s="36">
        <f t="shared" si="95"/>
        <v>0.0956745787445534</v>
      </c>
      <c r="Z106" s="35">
        <f>公交!Z10-公交!Z12</f>
        <v>616.169999999998</v>
      </c>
      <c r="AA106" s="36">
        <f t="shared" si="96"/>
        <v>-0.14863072374057</v>
      </c>
      <c r="AB106" s="35">
        <f>公交!AB10-公交!AB12</f>
        <v>609.549999999999</v>
      </c>
      <c r="AC106" s="36">
        <f t="shared" si="97"/>
        <v>-0.134850119223347</v>
      </c>
      <c r="AD106" s="35">
        <f>公交!AD10-公交!AD12</f>
        <v>568.459999999999</v>
      </c>
      <c r="AE106" s="36">
        <f t="shared" si="98"/>
        <v>-0.16391875395273</v>
      </c>
      <c r="AF106" s="35">
        <f>公交!AF10-公交!AF12</f>
        <v>549.530000000002</v>
      </c>
      <c r="AG106" s="36">
        <f t="shared" si="99"/>
        <v>-0.117702780810477</v>
      </c>
      <c r="AH106" s="35">
        <f>公交!AH10-公交!AH12</f>
        <v>491.509999999998</v>
      </c>
      <c r="AI106" s="36">
        <f t="shared" si="100"/>
        <v>-0.143143544506818</v>
      </c>
      <c r="AJ106" s="35">
        <f>公交!AJ10-公交!AJ12</f>
        <v>469.030000000002</v>
      </c>
      <c r="AK106" s="36">
        <f t="shared" si="101"/>
        <v>-0.0983660130718854</v>
      </c>
      <c r="AL106" s="35">
        <f>公交!AL10-公交!AL12</f>
        <v>573.610000000001</v>
      </c>
      <c r="AM106" s="36">
        <f t="shared" si="102"/>
        <v>-0.0668759760541344</v>
      </c>
      <c r="AN106" s="35">
        <f>公交!AN10-公交!AN12</f>
        <v>605.02</v>
      </c>
      <c r="AO106" s="36">
        <f t="shared" si="103"/>
        <v>-0.0722401975066329</v>
      </c>
      <c r="AP106" s="35">
        <f>公交!AP10-公交!AP12</f>
        <v>650.329999999998</v>
      </c>
      <c r="AQ106" s="36">
        <f t="shared" si="104"/>
        <v>0.0159818778315828</v>
      </c>
      <c r="AR106" s="35">
        <f>公交!AR10-公交!AR12</f>
        <v>612.099999999999</v>
      </c>
      <c r="AS106" s="36">
        <f t="shared" si="105"/>
        <v>-0.0540728492172673</v>
      </c>
      <c r="AT106" s="35">
        <f t="shared" si="106"/>
        <v>6746.16999999999</v>
      </c>
      <c r="AU106" s="36">
        <f t="shared" si="107"/>
        <v>-0.0984888777231069</v>
      </c>
      <c r="AV106" s="37"/>
      <c r="AW106" s="35">
        <v>665.699999999997</v>
      </c>
      <c r="AX106" s="36"/>
      <c r="AY106" s="35">
        <v>438.57</v>
      </c>
      <c r="AZ106" s="36"/>
      <c r="BA106" s="35">
        <v>723.739999999998</v>
      </c>
      <c r="BB106" s="36"/>
      <c r="BC106" s="35">
        <v>704.560000000001</v>
      </c>
      <c r="BD106" s="36"/>
      <c r="BE106" s="35">
        <v>679.91</v>
      </c>
      <c r="BF106" s="36"/>
      <c r="BG106" s="35">
        <v>622.84</v>
      </c>
      <c r="BH106" s="36"/>
      <c r="BI106" s="35">
        <v>573.619999999999</v>
      </c>
      <c r="BJ106" s="36"/>
      <c r="BK106" s="35">
        <v>520.199999999997</v>
      </c>
      <c r="BL106" s="36"/>
      <c r="BM106" s="35">
        <v>614.719999999998</v>
      </c>
      <c r="BN106" s="36"/>
      <c r="BO106" s="35">
        <v>652.130000000001</v>
      </c>
      <c r="BP106" s="36"/>
      <c r="BQ106" s="35">
        <v>640.100000000002</v>
      </c>
      <c r="BR106" s="36"/>
      <c r="BS106" s="35">
        <v>647.09</v>
      </c>
      <c r="BT106" s="36"/>
      <c r="BU106" s="35">
        <f t="shared" si="108"/>
        <v>7483.17999999999</v>
      </c>
      <c r="BV106" s="36"/>
      <c r="BW106" s="40"/>
      <c r="BX106" s="46"/>
      <c r="BY106" s="46"/>
      <c r="BZ106" s="46"/>
      <c r="CA106" s="46"/>
      <c r="CB106" s="46"/>
      <c r="CC106" s="46"/>
      <c r="CD106" s="41"/>
      <c r="CE106" s="46"/>
      <c r="CF106" s="41"/>
      <c r="CG106" s="41"/>
      <c r="CH106" s="41"/>
      <c r="CI106" s="41"/>
      <c r="CJ106" s="47"/>
    </row>
    <row r="107" ht="28.8" customHeight="1" spans="1:88">
      <c r="A107" s="45"/>
      <c r="B107" s="34" t="s">
        <v>303</v>
      </c>
      <c r="C107" s="35">
        <v>0</v>
      </c>
      <c r="D107" s="36" t="e">
        <f t="shared" si="85"/>
        <v>#DIV/0!</v>
      </c>
      <c r="E107" s="35">
        <v>0</v>
      </c>
      <c r="F107" s="36" t="e">
        <f t="shared" si="86"/>
        <v>#DIV/0!</v>
      </c>
      <c r="G107" s="35">
        <v>0</v>
      </c>
      <c r="H107" s="36" t="e">
        <f t="shared" si="87"/>
        <v>#DIV/0!</v>
      </c>
      <c r="I107" s="35">
        <v>0</v>
      </c>
      <c r="J107" s="36" t="e">
        <f t="shared" si="88"/>
        <v>#DIV/0!</v>
      </c>
      <c r="K107" s="35">
        <v>0</v>
      </c>
      <c r="L107" s="36" t="e">
        <f t="shared" si="89"/>
        <v>#DIV/0!</v>
      </c>
      <c r="M107" s="35">
        <v>0</v>
      </c>
      <c r="N107" s="36" t="e">
        <f t="shared" si="90"/>
        <v>#DIV/0!</v>
      </c>
      <c r="O107" s="35">
        <v>0</v>
      </c>
      <c r="P107" s="36" t="e">
        <f t="shared" si="91"/>
        <v>#DIV/0!</v>
      </c>
      <c r="Q107" s="127"/>
      <c r="R107" s="127"/>
      <c r="S107" s="131">
        <f t="shared" si="92"/>
        <v>0</v>
      </c>
      <c r="T107" s="132" t="e">
        <f t="shared" si="93"/>
        <v>#DIV/0!</v>
      </c>
      <c r="U107" s="35"/>
      <c r="V107" s="35">
        <v>0</v>
      </c>
      <c r="W107" s="36" t="e">
        <f t="shared" si="94"/>
        <v>#DIV/0!</v>
      </c>
      <c r="X107" s="35">
        <v>0</v>
      </c>
      <c r="Y107" s="36" t="e">
        <f t="shared" si="95"/>
        <v>#DIV/0!</v>
      </c>
      <c r="Z107" s="35">
        <v>0</v>
      </c>
      <c r="AA107" s="36" t="e">
        <f t="shared" si="96"/>
        <v>#DIV/0!</v>
      </c>
      <c r="AB107" s="35">
        <v>0</v>
      </c>
      <c r="AC107" s="36" t="e">
        <f t="shared" si="97"/>
        <v>#DIV/0!</v>
      </c>
      <c r="AD107" s="35">
        <v>0</v>
      </c>
      <c r="AE107" s="36" t="e">
        <f t="shared" si="98"/>
        <v>#DIV/0!</v>
      </c>
      <c r="AF107" s="35">
        <v>0</v>
      </c>
      <c r="AG107" s="36" t="e">
        <f t="shared" si="99"/>
        <v>#DIV/0!</v>
      </c>
      <c r="AH107" s="35">
        <v>0</v>
      </c>
      <c r="AI107" s="36" t="e">
        <f t="shared" si="100"/>
        <v>#DIV/0!</v>
      </c>
      <c r="AJ107" s="35">
        <v>0</v>
      </c>
      <c r="AK107" s="36" t="e">
        <f t="shared" si="101"/>
        <v>#DIV/0!</v>
      </c>
      <c r="AL107" s="35">
        <v>0</v>
      </c>
      <c r="AM107" s="36" t="e">
        <f t="shared" si="102"/>
        <v>#DIV/0!</v>
      </c>
      <c r="AN107" s="35">
        <v>0</v>
      </c>
      <c r="AO107" s="36" t="e">
        <f t="shared" si="103"/>
        <v>#DIV/0!</v>
      </c>
      <c r="AP107" s="35">
        <v>0</v>
      </c>
      <c r="AQ107" s="36" t="e">
        <f t="shared" si="104"/>
        <v>#DIV/0!</v>
      </c>
      <c r="AR107" s="35">
        <v>0</v>
      </c>
      <c r="AS107" s="36" t="e">
        <f t="shared" si="105"/>
        <v>#DIV/0!</v>
      </c>
      <c r="AT107" s="35">
        <f t="shared" si="106"/>
        <v>0</v>
      </c>
      <c r="AU107" s="36" t="e">
        <f t="shared" si="107"/>
        <v>#DIV/0!</v>
      </c>
      <c r="AV107" s="37"/>
      <c r="AW107" s="35">
        <v>0</v>
      </c>
      <c r="AX107" s="36"/>
      <c r="AY107" s="35">
        <v>0</v>
      </c>
      <c r="AZ107" s="36"/>
      <c r="BA107" s="35">
        <v>0</v>
      </c>
      <c r="BB107" s="36"/>
      <c r="BC107" s="35">
        <v>0</v>
      </c>
      <c r="BD107" s="36"/>
      <c r="BE107" s="35">
        <v>0</v>
      </c>
      <c r="BF107" s="36"/>
      <c r="BG107" s="35">
        <v>0</v>
      </c>
      <c r="BH107" s="36"/>
      <c r="BI107" s="35">
        <v>0</v>
      </c>
      <c r="BJ107" s="36"/>
      <c r="BK107" s="35">
        <v>0</v>
      </c>
      <c r="BL107" s="36"/>
      <c r="BM107" s="35">
        <v>0</v>
      </c>
      <c r="BN107" s="36"/>
      <c r="BO107" s="35">
        <v>0</v>
      </c>
      <c r="BP107" s="36"/>
      <c r="BQ107" s="35">
        <v>0</v>
      </c>
      <c r="BR107" s="36"/>
      <c r="BS107" s="35">
        <v>0</v>
      </c>
      <c r="BT107" s="36"/>
      <c r="BU107" s="35">
        <f t="shared" si="108"/>
        <v>0</v>
      </c>
      <c r="BV107" s="36"/>
      <c r="BW107" s="40"/>
      <c r="BX107" s="46"/>
      <c r="BY107" s="46"/>
      <c r="BZ107" s="46"/>
      <c r="CA107" s="46"/>
      <c r="CB107" s="46"/>
      <c r="CC107" s="46"/>
      <c r="CD107" s="41"/>
      <c r="CE107" s="46"/>
      <c r="CF107" s="41"/>
      <c r="CG107" s="41"/>
      <c r="CH107" s="41"/>
      <c r="CI107" s="41"/>
      <c r="CJ107" s="47"/>
    </row>
    <row r="108" ht="28.8" customHeight="1" spans="1:88">
      <c r="A108" s="29"/>
      <c r="B108" s="34" t="s">
        <v>304</v>
      </c>
      <c r="C108" s="35">
        <v>0</v>
      </c>
      <c r="D108" s="36" t="e">
        <f t="shared" si="85"/>
        <v>#DIV/0!</v>
      </c>
      <c r="E108" s="35">
        <v>0</v>
      </c>
      <c r="F108" s="36" t="e">
        <f t="shared" si="86"/>
        <v>#DIV/0!</v>
      </c>
      <c r="G108" s="35">
        <v>0</v>
      </c>
      <c r="H108" s="36" t="e">
        <f t="shared" si="87"/>
        <v>#DIV/0!</v>
      </c>
      <c r="I108" s="35">
        <v>0</v>
      </c>
      <c r="J108" s="36" t="e">
        <f t="shared" si="88"/>
        <v>#DIV/0!</v>
      </c>
      <c r="K108" s="35">
        <v>0</v>
      </c>
      <c r="L108" s="36" t="e">
        <f t="shared" si="89"/>
        <v>#DIV/0!</v>
      </c>
      <c r="M108" s="35">
        <v>0</v>
      </c>
      <c r="N108" s="36" t="e">
        <f t="shared" si="90"/>
        <v>#DIV/0!</v>
      </c>
      <c r="O108" s="35">
        <v>0</v>
      </c>
      <c r="P108" s="36" t="e">
        <f t="shared" si="91"/>
        <v>#DIV/0!</v>
      </c>
      <c r="Q108" s="127"/>
      <c r="R108" s="127"/>
      <c r="S108" s="131">
        <f t="shared" si="92"/>
        <v>0</v>
      </c>
      <c r="T108" s="132" t="e">
        <f t="shared" si="93"/>
        <v>#DIV/0!</v>
      </c>
      <c r="U108" s="35"/>
      <c r="V108" s="35">
        <v>0</v>
      </c>
      <c r="W108" s="36" t="e">
        <f t="shared" si="94"/>
        <v>#DIV/0!</v>
      </c>
      <c r="X108" s="35">
        <v>0</v>
      </c>
      <c r="Y108" s="36" t="e">
        <f t="shared" si="95"/>
        <v>#DIV/0!</v>
      </c>
      <c r="Z108" s="35">
        <v>0</v>
      </c>
      <c r="AA108" s="36" t="e">
        <f t="shared" si="96"/>
        <v>#DIV/0!</v>
      </c>
      <c r="AB108" s="35">
        <v>0</v>
      </c>
      <c r="AC108" s="36" t="e">
        <f t="shared" si="97"/>
        <v>#DIV/0!</v>
      </c>
      <c r="AD108" s="35">
        <v>0</v>
      </c>
      <c r="AE108" s="36" t="e">
        <f t="shared" si="98"/>
        <v>#DIV/0!</v>
      </c>
      <c r="AF108" s="35">
        <v>0</v>
      </c>
      <c r="AG108" s="36" t="e">
        <f t="shared" si="99"/>
        <v>#DIV/0!</v>
      </c>
      <c r="AH108" s="35">
        <v>0</v>
      </c>
      <c r="AI108" s="36" t="e">
        <f t="shared" si="100"/>
        <v>#DIV/0!</v>
      </c>
      <c r="AJ108" s="35">
        <v>0</v>
      </c>
      <c r="AK108" s="36" t="e">
        <f t="shared" si="101"/>
        <v>#DIV/0!</v>
      </c>
      <c r="AL108" s="35">
        <v>0</v>
      </c>
      <c r="AM108" s="36" t="e">
        <f t="shared" si="102"/>
        <v>#DIV/0!</v>
      </c>
      <c r="AN108" s="35">
        <v>0</v>
      </c>
      <c r="AO108" s="36" t="e">
        <f t="shared" si="103"/>
        <v>#DIV/0!</v>
      </c>
      <c r="AP108" s="35">
        <v>0</v>
      </c>
      <c r="AQ108" s="36" t="e">
        <f t="shared" si="104"/>
        <v>#DIV/0!</v>
      </c>
      <c r="AR108" s="35">
        <v>0</v>
      </c>
      <c r="AS108" s="36" t="e">
        <f t="shared" si="105"/>
        <v>#DIV/0!</v>
      </c>
      <c r="AT108" s="35">
        <f t="shared" si="106"/>
        <v>0</v>
      </c>
      <c r="AU108" s="36" t="e">
        <f t="shared" si="107"/>
        <v>#DIV/0!</v>
      </c>
      <c r="AV108" s="37"/>
      <c r="AW108" s="35">
        <v>0</v>
      </c>
      <c r="AX108" s="36"/>
      <c r="AY108" s="35">
        <v>0</v>
      </c>
      <c r="AZ108" s="36"/>
      <c r="BA108" s="35">
        <v>0</v>
      </c>
      <c r="BB108" s="36"/>
      <c r="BC108" s="35">
        <v>0</v>
      </c>
      <c r="BD108" s="36"/>
      <c r="BE108" s="35">
        <v>0</v>
      </c>
      <c r="BF108" s="36"/>
      <c r="BG108" s="35">
        <v>0</v>
      </c>
      <c r="BH108" s="36"/>
      <c r="BI108" s="35">
        <v>0</v>
      </c>
      <c r="BJ108" s="36"/>
      <c r="BK108" s="35">
        <v>0</v>
      </c>
      <c r="BL108" s="36"/>
      <c r="BM108" s="35">
        <v>0</v>
      </c>
      <c r="BN108" s="36"/>
      <c r="BO108" s="35">
        <v>0</v>
      </c>
      <c r="BP108" s="36"/>
      <c r="BQ108" s="35">
        <v>0</v>
      </c>
      <c r="BR108" s="36"/>
      <c r="BS108" s="35">
        <v>0</v>
      </c>
      <c r="BT108" s="36"/>
      <c r="BU108" s="35">
        <f t="shared" si="108"/>
        <v>0</v>
      </c>
      <c r="BV108" s="36"/>
      <c r="BW108" s="40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7"/>
    </row>
    <row r="109" s="15" customFormat="1" ht="28.8" customHeight="1" spans="1:88">
      <c r="A109" s="48" t="s">
        <v>94</v>
      </c>
      <c r="B109" s="34" t="s">
        <v>300</v>
      </c>
      <c r="C109" s="35">
        <f>C110+C111+C112+C113</f>
        <v>5389.62411186543</v>
      </c>
      <c r="D109" s="36">
        <f t="shared" si="85"/>
        <v>-0.182587822310827</v>
      </c>
      <c r="E109" s="35">
        <f>E110+E111+E112+E113</f>
        <v>5188.80735994792</v>
      </c>
      <c r="F109" s="36">
        <f t="shared" si="86"/>
        <v>-0.221184910752481</v>
      </c>
      <c r="G109" s="35">
        <f>G110+G111+G112+G113</f>
        <v>5951.31064259379</v>
      </c>
      <c r="H109" s="36">
        <f t="shared" si="87"/>
        <v>-0.138391407463435</v>
      </c>
      <c r="I109" s="35">
        <f>I110+I111+I112+I113</f>
        <v>6254.10570747201</v>
      </c>
      <c r="J109" s="36">
        <f t="shared" si="88"/>
        <v>-0.174597809616253</v>
      </c>
      <c r="K109" s="35">
        <f>K110+K111+K112+K113</f>
        <v>6038.00745238687</v>
      </c>
      <c r="L109" s="36">
        <f t="shared" si="89"/>
        <v>-0.149530417260559</v>
      </c>
      <c r="M109" s="35">
        <f>M110+M111+M112+M113</f>
        <v>5835.40936639666</v>
      </c>
      <c r="N109" s="36">
        <f t="shared" si="90"/>
        <v>-0.118681479326764</v>
      </c>
      <c r="O109" s="35">
        <f>O110+O111+O112+O113</f>
        <v>5586.20050054893</v>
      </c>
      <c r="P109" s="36">
        <f t="shared" si="91"/>
        <v>-0.110061705051652</v>
      </c>
      <c r="Q109" s="127"/>
      <c r="R109" s="127"/>
      <c r="S109" s="131">
        <f t="shared" si="92"/>
        <v>40243.4651412116</v>
      </c>
      <c r="T109" s="132">
        <f t="shared" si="93"/>
        <v>-0.256954000967339</v>
      </c>
      <c r="U109" s="35"/>
      <c r="V109" s="35">
        <f>V110+V111+V112+V113</f>
        <v>6593.52069735726</v>
      </c>
      <c r="W109" s="36">
        <f t="shared" si="94"/>
        <v>-0.0439352214967994</v>
      </c>
      <c r="X109" s="35">
        <f>X110+X111+X112+X113</f>
        <v>6662.43814685368</v>
      </c>
      <c r="Y109" s="36">
        <f t="shared" si="95"/>
        <v>0.0930314892420645</v>
      </c>
      <c r="Z109" s="35">
        <f>Z110+Z111+Z112+Z113</f>
        <v>6907.20902059857</v>
      </c>
      <c r="AA109" s="36">
        <f t="shared" si="96"/>
        <v>-0.0348210949879939</v>
      </c>
      <c r="AB109" s="35">
        <f>AB110+AB111+AB112+AB113</f>
        <v>7577.04035721584</v>
      </c>
      <c r="AC109" s="36">
        <f t="shared" si="97"/>
        <v>-0.016857041527913</v>
      </c>
      <c r="AD109" s="35">
        <f>AD110+AD111+AD112+AD113</f>
        <v>7099.61599442263</v>
      </c>
      <c r="AE109" s="36">
        <f t="shared" si="98"/>
        <v>-0.0506655934299162</v>
      </c>
      <c r="AF109" s="35">
        <f>AF110+AF111+AF112+AF113</f>
        <v>6621.22629845452</v>
      </c>
      <c r="AG109" s="36">
        <f t="shared" si="99"/>
        <v>-0.046071303220952</v>
      </c>
      <c r="AH109" s="35">
        <f>AH110+AH111+AH112+AH113</f>
        <v>6277.06497434539</v>
      </c>
      <c r="AI109" s="36">
        <f t="shared" si="100"/>
        <v>-0.122892487605049</v>
      </c>
      <c r="AJ109" s="35">
        <f>AJ110+AJ111+AJ112+AJ113</f>
        <v>6422.01079311262</v>
      </c>
      <c r="AK109" s="36">
        <f t="shared" si="101"/>
        <v>-0.0381950197062403</v>
      </c>
      <c r="AL109" s="35">
        <f>AL110+AL111+AL112+AL113</f>
        <v>6338.61675919145</v>
      </c>
      <c r="AM109" s="36">
        <f t="shared" si="102"/>
        <v>-0.0675152403128283</v>
      </c>
      <c r="AN109" s="35">
        <f>AN110+AN111+AN112+AN113</f>
        <v>6004.18467298235</v>
      </c>
      <c r="AO109" s="36">
        <f t="shared" si="103"/>
        <v>-0.16298820721525</v>
      </c>
      <c r="AP109" s="35">
        <f>AP110+AP111+AP112+AP113</f>
        <v>5943.71140618388</v>
      </c>
      <c r="AQ109" s="36">
        <f t="shared" si="104"/>
        <v>-0.158218874093746</v>
      </c>
      <c r="AR109" s="35">
        <f>AR110+AR111+AR112+AR113</f>
        <v>5836.5882555601</v>
      </c>
      <c r="AS109" s="36">
        <f t="shared" si="105"/>
        <v>-0.116562710242639</v>
      </c>
      <c r="AT109" s="35">
        <f t="shared" si="106"/>
        <v>78283.2273762783</v>
      </c>
      <c r="AU109" s="36">
        <f t="shared" si="107"/>
        <v>-0.0652396770245652</v>
      </c>
      <c r="AV109" s="37"/>
      <c r="AW109" s="38">
        <f>AW110+AW111+AW112+AW113</f>
        <v>6896.52086930759</v>
      </c>
      <c r="AX109" s="37"/>
      <c r="AY109" s="38">
        <f>AY110+AY111+AY112+AY113</f>
        <v>6095.37621964906</v>
      </c>
      <c r="AZ109" s="37"/>
      <c r="BA109" s="38">
        <f>BA110+BA111+BA112+BA113</f>
        <v>7156.4028023516</v>
      </c>
      <c r="BB109" s="37"/>
      <c r="BC109" s="38">
        <f>BC110+BC111+BC112+BC113</f>
        <v>7706.9568488711</v>
      </c>
      <c r="BD109" s="37"/>
      <c r="BE109" s="38">
        <f>BE110+BE111+BE112+BE113</f>
        <v>7478.51962942471</v>
      </c>
      <c r="BF109" s="37"/>
      <c r="BG109" s="38">
        <f>BG110+BG111+BG112+BG113</f>
        <v>6941.0075625266</v>
      </c>
      <c r="BH109" s="37"/>
      <c r="BI109" s="38">
        <f>BI110+BI111+BI112+BI113</f>
        <v>7156.55137556147</v>
      </c>
      <c r="BJ109" s="37"/>
      <c r="BK109" s="38">
        <f>BK110+BK111+BK112+BK113</f>
        <v>6677.04048605693</v>
      </c>
      <c r="BL109" s="37"/>
      <c r="BM109" s="38">
        <f>BM110+BM111+BM112+BM113</f>
        <v>6797.55534162073</v>
      </c>
      <c r="BN109" s="37"/>
      <c r="BO109" s="38">
        <f>BO110+BO111+BO112+BO113</f>
        <v>7173.35732272821</v>
      </c>
      <c r="BP109" s="37"/>
      <c r="BQ109" s="38">
        <f>BQ110+BQ111+BQ112+BQ113</f>
        <v>7060.87511737084</v>
      </c>
      <c r="BR109" s="37"/>
      <c r="BS109" s="38">
        <f>BS110+BS111+BS112+BS113</f>
        <v>6606.68088525348</v>
      </c>
      <c r="BT109" s="37"/>
      <c r="BU109" s="38">
        <f t="shared" si="108"/>
        <v>83746.8444607223</v>
      </c>
      <c r="BV109" s="37"/>
      <c r="BW109" s="39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</row>
    <row r="110" ht="28.8" customHeight="1" spans="1:88">
      <c r="A110" s="45"/>
      <c r="B110" s="34" t="s">
        <v>301</v>
      </c>
      <c r="C110" s="35">
        <f>班线包车!C11</f>
        <v>2072.6875</v>
      </c>
      <c r="D110" s="36">
        <f t="shared" si="85"/>
        <v>-0.190975033386582</v>
      </c>
      <c r="E110" s="35">
        <f>班线包车!E11</f>
        <v>2381.0712</v>
      </c>
      <c r="F110" s="36">
        <f t="shared" si="86"/>
        <v>-0.0687650128307908</v>
      </c>
      <c r="G110" s="35">
        <f>班线包车!G11</f>
        <v>2528.9262</v>
      </c>
      <c r="H110" s="36">
        <f t="shared" si="87"/>
        <v>-0.0921752267097382</v>
      </c>
      <c r="I110" s="35">
        <f>班线包车!I11</f>
        <v>2913.672</v>
      </c>
      <c r="J110" s="36">
        <f t="shared" si="88"/>
        <v>-0.0607622124731215</v>
      </c>
      <c r="K110" s="35">
        <f>班线包车!K11</f>
        <v>2547.6156</v>
      </c>
      <c r="L110" s="36">
        <f t="shared" si="89"/>
        <v>-0.0571552286928602</v>
      </c>
      <c r="M110" s="35">
        <f>班线包车!M11</f>
        <v>2470.4711</v>
      </c>
      <c r="N110" s="36">
        <f t="shared" si="90"/>
        <v>-0.00676617052237261</v>
      </c>
      <c r="O110" s="35">
        <f>班线包车!O11</f>
        <v>2320.2229</v>
      </c>
      <c r="P110" s="36">
        <f t="shared" si="91"/>
        <v>-0.046877105295502</v>
      </c>
      <c r="Q110" s="127"/>
      <c r="R110" s="127"/>
      <c r="S110" s="131">
        <f t="shared" si="92"/>
        <v>17234.6665</v>
      </c>
      <c r="T110" s="132">
        <f t="shared" si="93"/>
        <v>-0.187102642151485</v>
      </c>
      <c r="U110" s="35"/>
      <c r="V110" s="35">
        <f>班线包车!V11</f>
        <v>2561.9574</v>
      </c>
      <c r="W110" s="36">
        <f t="shared" si="94"/>
        <v>0.0222229865303722</v>
      </c>
      <c r="X110" s="35">
        <f>班线包车!X11</f>
        <v>2556.8962</v>
      </c>
      <c r="Y110" s="36">
        <f t="shared" si="95"/>
        <v>0.0334251638451573</v>
      </c>
      <c r="Z110" s="35">
        <f>班线包车!Z11</f>
        <v>2785.6986</v>
      </c>
      <c r="AA110" s="36">
        <f t="shared" si="96"/>
        <v>0.000791954227890912</v>
      </c>
      <c r="AB110" s="35">
        <f>班线包车!AB11</f>
        <v>3102.1665</v>
      </c>
      <c r="AC110" s="36">
        <f t="shared" si="97"/>
        <v>-0.00726405618007842</v>
      </c>
      <c r="AD110" s="35">
        <f>班线包车!AD11</f>
        <v>2702.052</v>
      </c>
      <c r="AE110" s="36">
        <f t="shared" si="98"/>
        <v>-0.0872530757999774</v>
      </c>
      <c r="AF110" s="35">
        <f>班线包车!AF11</f>
        <v>2487.3006</v>
      </c>
      <c r="AG110" s="36">
        <f t="shared" si="99"/>
        <v>-0.0323817664402862</v>
      </c>
      <c r="AH110" s="35">
        <f>班线包车!AH11</f>
        <v>2434.3376</v>
      </c>
      <c r="AI110" s="36">
        <f t="shared" si="100"/>
        <v>-0.12995961020591</v>
      </c>
      <c r="AJ110" s="35">
        <f>班线包车!AJ11</f>
        <v>2571.1196</v>
      </c>
      <c r="AK110" s="36">
        <f t="shared" si="101"/>
        <v>-0.039412875811763</v>
      </c>
      <c r="AL110" s="35">
        <f>班线包车!AL11</f>
        <v>2439.2523</v>
      </c>
      <c r="AM110" s="36">
        <f t="shared" si="102"/>
        <v>-0.0614232807516671</v>
      </c>
      <c r="AN110" s="35">
        <f>班线包车!AN11</f>
        <v>2622.7803</v>
      </c>
      <c r="AO110" s="36">
        <f t="shared" si="103"/>
        <v>-0.0975133360198009</v>
      </c>
      <c r="AP110" s="35">
        <f>班线包车!AP11</f>
        <v>2698.1026</v>
      </c>
      <c r="AQ110" s="36">
        <f t="shared" si="104"/>
        <v>-0.0119243162807403</v>
      </c>
      <c r="AR110" s="35">
        <f>班线包车!AR11</f>
        <v>2490.7552</v>
      </c>
      <c r="AS110" s="36">
        <f t="shared" si="105"/>
        <v>0.0715517594449513</v>
      </c>
      <c r="AT110" s="35">
        <f t="shared" si="106"/>
        <v>31452.4189</v>
      </c>
      <c r="AU110" s="36">
        <f t="shared" si="107"/>
        <v>-0.030874577610514</v>
      </c>
      <c r="AV110" s="37"/>
      <c r="AW110" s="35">
        <v>2506.2608</v>
      </c>
      <c r="AX110" s="36"/>
      <c r="AY110" s="35">
        <v>2474.1958</v>
      </c>
      <c r="AZ110" s="36"/>
      <c r="BA110" s="35">
        <v>2783.4942</v>
      </c>
      <c r="BB110" s="36"/>
      <c r="BC110" s="35">
        <v>3124.8657</v>
      </c>
      <c r="BD110" s="36"/>
      <c r="BE110" s="35">
        <v>2960.3518</v>
      </c>
      <c r="BF110" s="36"/>
      <c r="BG110" s="35">
        <v>2570.5392</v>
      </c>
      <c r="BH110" s="36"/>
      <c r="BI110" s="35">
        <v>2797.9593</v>
      </c>
      <c r="BJ110" s="36"/>
      <c r="BK110" s="35">
        <v>2676.6126</v>
      </c>
      <c r="BL110" s="36"/>
      <c r="BM110" s="35">
        <v>2598.8843</v>
      </c>
      <c r="BN110" s="36"/>
      <c r="BO110" s="35">
        <v>2906.1707</v>
      </c>
      <c r="BP110" s="36"/>
      <c r="BQ110" s="35">
        <v>2730.6639</v>
      </c>
      <c r="BR110" s="36"/>
      <c r="BS110" s="35">
        <v>2324.4376</v>
      </c>
      <c r="BT110" s="36"/>
      <c r="BU110" s="35">
        <f t="shared" si="108"/>
        <v>32454.4359</v>
      </c>
      <c r="BV110" s="36"/>
      <c r="BW110" s="40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7"/>
    </row>
    <row r="111" ht="28.8" customHeight="1" spans="1:88">
      <c r="A111" s="45"/>
      <c r="B111" s="34" t="s">
        <v>302</v>
      </c>
      <c r="C111" s="35">
        <f>公交!C14-公交!C16</f>
        <v>2885.57</v>
      </c>
      <c r="D111" s="36">
        <f t="shared" si="85"/>
        <v>-0.217951845106457</v>
      </c>
      <c r="E111" s="35">
        <f>公交!E14-公交!E16</f>
        <v>2395.99</v>
      </c>
      <c r="F111" s="36">
        <f t="shared" si="86"/>
        <v>-0.354201481353703</v>
      </c>
      <c r="G111" s="35">
        <f>公交!G14-公交!G16</f>
        <v>3003.02</v>
      </c>
      <c r="H111" s="36">
        <f t="shared" si="87"/>
        <v>-0.190041050593103</v>
      </c>
      <c r="I111" s="35">
        <f>公交!I14-公交!I16</f>
        <v>2930.14</v>
      </c>
      <c r="J111" s="36">
        <f t="shared" si="88"/>
        <v>-0.270559650681982</v>
      </c>
      <c r="K111" s="35">
        <f>公交!K14-公交!K16</f>
        <v>3055.22</v>
      </c>
      <c r="L111" s="36">
        <f t="shared" si="89"/>
        <v>-0.222790071762728</v>
      </c>
      <c r="M111" s="35">
        <f>公交!M14-公交!M16</f>
        <v>2909.13</v>
      </c>
      <c r="N111" s="36">
        <f t="shared" si="90"/>
        <v>-0.215027940950289</v>
      </c>
      <c r="O111" s="35">
        <f>公交!O14-公交!O16</f>
        <v>2783.54</v>
      </c>
      <c r="P111" s="36">
        <f t="shared" si="91"/>
        <v>-0.174839105572239</v>
      </c>
      <c r="Q111" s="127"/>
      <c r="R111" s="127"/>
      <c r="S111" s="131">
        <f t="shared" si="92"/>
        <v>19962.61</v>
      </c>
      <c r="T111" s="132">
        <f t="shared" si="93"/>
        <v>-0.322318603045366</v>
      </c>
      <c r="U111" s="35"/>
      <c r="V111" s="35">
        <f>公交!V14-公交!V16</f>
        <v>3689.76</v>
      </c>
      <c r="W111" s="36">
        <f t="shared" si="94"/>
        <v>-0.0511462847003461</v>
      </c>
      <c r="X111" s="35">
        <f>公交!X14-公交!X16</f>
        <v>3710.12</v>
      </c>
      <c r="Y111" s="36">
        <f t="shared" si="95"/>
        <v>0.156031109006157</v>
      </c>
      <c r="Z111" s="35">
        <f>公交!Z14-公交!Z16</f>
        <v>3707.62</v>
      </c>
      <c r="AA111" s="36">
        <f t="shared" si="96"/>
        <v>-0.0529028896064087</v>
      </c>
      <c r="AB111" s="35">
        <f>公交!AB14-公交!AB16</f>
        <v>4016.97</v>
      </c>
      <c r="AC111" s="36">
        <f t="shared" si="97"/>
        <v>-0.0159743078453181</v>
      </c>
      <c r="AD111" s="35">
        <f>公交!AD14-公交!AD16</f>
        <v>3931.01</v>
      </c>
      <c r="AE111" s="36">
        <f t="shared" si="98"/>
        <v>-0.0292723882900572</v>
      </c>
      <c r="AF111" s="35">
        <f>公交!AF14-公交!AF16</f>
        <v>3706.03</v>
      </c>
      <c r="AG111" s="36">
        <f t="shared" si="99"/>
        <v>-0.0274827068616236</v>
      </c>
      <c r="AH111" s="35">
        <f>公交!AH14-公交!AH16</f>
        <v>3373.33</v>
      </c>
      <c r="AI111" s="36">
        <f t="shared" si="100"/>
        <v>-0.0916867716433664</v>
      </c>
      <c r="AJ111" s="35">
        <f>公交!AJ14-公交!AJ16</f>
        <v>3322.38</v>
      </c>
      <c r="AK111" s="36">
        <f t="shared" si="101"/>
        <v>-0.0663118195563099</v>
      </c>
      <c r="AL111" s="35">
        <f>公交!AL14-公交!AL16</f>
        <v>3456.76</v>
      </c>
      <c r="AM111" s="36">
        <f t="shared" si="102"/>
        <v>-0.043463582957693</v>
      </c>
      <c r="AN111" s="35">
        <f>公交!AN14-公交!AN16</f>
        <v>2925.45</v>
      </c>
      <c r="AO111" s="36">
        <f t="shared" si="103"/>
        <v>-0.229812340062553</v>
      </c>
      <c r="AP111" s="35">
        <f>公交!AP14-公交!AP16</f>
        <v>2844.5</v>
      </c>
      <c r="AQ111" s="36">
        <f t="shared" si="104"/>
        <v>-0.259217783981708</v>
      </c>
      <c r="AR111" s="35">
        <f>公交!AR14-公交!AR16</f>
        <v>2949.04</v>
      </c>
      <c r="AS111" s="36">
        <f t="shared" si="105"/>
        <v>-0.214293326512778</v>
      </c>
      <c r="AT111" s="35">
        <f t="shared" si="106"/>
        <v>41632.97</v>
      </c>
      <c r="AU111" s="36">
        <f t="shared" si="107"/>
        <v>-0.0795847085334739</v>
      </c>
      <c r="AV111" s="37"/>
      <c r="AW111" s="35">
        <v>3888.65</v>
      </c>
      <c r="AX111" s="36"/>
      <c r="AY111" s="35">
        <v>3209.36</v>
      </c>
      <c r="AZ111" s="36"/>
      <c r="BA111" s="35">
        <v>3914.72</v>
      </c>
      <c r="BB111" s="36"/>
      <c r="BC111" s="35">
        <v>4082.18</v>
      </c>
      <c r="BD111" s="36"/>
      <c r="BE111" s="35">
        <v>4049.55</v>
      </c>
      <c r="BF111" s="36"/>
      <c r="BG111" s="35">
        <v>3810.76</v>
      </c>
      <c r="BH111" s="36"/>
      <c r="BI111" s="35">
        <v>3713.84</v>
      </c>
      <c r="BJ111" s="36"/>
      <c r="BK111" s="35">
        <v>3558.34</v>
      </c>
      <c r="BL111" s="36"/>
      <c r="BM111" s="35">
        <v>3613.83</v>
      </c>
      <c r="BN111" s="36"/>
      <c r="BO111" s="35">
        <v>3798.36</v>
      </c>
      <c r="BP111" s="36"/>
      <c r="BQ111" s="35">
        <v>3839.86</v>
      </c>
      <c r="BR111" s="36"/>
      <c r="BS111" s="35">
        <v>3753.36</v>
      </c>
      <c r="BT111" s="36"/>
      <c r="BU111" s="35">
        <f t="shared" si="108"/>
        <v>45232.81</v>
      </c>
      <c r="BV111" s="36"/>
      <c r="BW111" s="40"/>
      <c r="BX111" s="46"/>
      <c r="BY111" s="46"/>
      <c r="BZ111" s="46"/>
      <c r="CA111" s="46"/>
      <c r="CB111" s="46"/>
      <c r="CC111" s="46"/>
      <c r="CD111" s="41"/>
      <c r="CE111" s="46"/>
      <c r="CF111" s="41"/>
      <c r="CG111" s="41"/>
      <c r="CH111" s="41"/>
      <c r="CI111" s="41"/>
      <c r="CJ111" s="47"/>
    </row>
    <row r="112" ht="28.8" customHeight="1" spans="1:88">
      <c r="A112" s="45"/>
      <c r="B112" s="34" t="s">
        <v>303</v>
      </c>
      <c r="C112" s="35">
        <f>出租!C14-出租!C16</f>
        <v>266.42</v>
      </c>
      <c r="D112" s="36">
        <f t="shared" si="85"/>
        <v>0.0411504943530432</v>
      </c>
      <c r="E112" s="35">
        <f>出租!E14-出租!E16</f>
        <v>268.18</v>
      </c>
      <c r="F112" s="36">
        <f t="shared" si="86"/>
        <v>-0.108088333111614</v>
      </c>
      <c r="G112" s="35">
        <f>出租!G14-出租!G16</f>
        <v>258.11</v>
      </c>
      <c r="H112" s="36">
        <f t="shared" si="87"/>
        <v>-0.0226437956757167</v>
      </c>
      <c r="I112" s="35">
        <f>出租!I14-出租!I16</f>
        <v>263.17</v>
      </c>
      <c r="J112" s="36">
        <f t="shared" si="88"/>
        <v>-0.0681608951207414</v>
      </c>
      <c r="K112" s="35">
        <f>出租!K14-出租!K16</f>
        <v>260.13</v>
      </c>
      <c r="L112" s="36">
        <f t="shared" si="89"/>
        <v>-0.0353050250324494</v>
      </c>
      <c r="M112" s="35">
        <f>出租!M14-出租!M16</f>
        <v>251.24</v>
      </c>
      <c r="N112" s="36">
        <f t="shared" si="90"/>
        <v>0.022839229735782</v>
      </c>
      <c r="O112" s="35">
        <f>出租!O14-出租!O16</f>
        <v>251.53</v>
      </c>
      <c r="P112" s="36">
        <f t="shared" si="91"/>
        <v>-0.0599820614395693</v>
      </c>
      <c r="Q112" s="127"/>
      <c r="R112" s="127"/>
      <c r="S112" s="131">
        <f t="shared" si="92"/>
        <v>1818.78</v>
      </c>
      <c r="T112" s="132">
        <f t="shared" si="93"/>
        <v>-0.172879536865657</v>
      </c>
      <c r="U112" s="35"/>
      <c r="V112" s="35">
        <f>出租!V14-出租!V16</f>
        <v>255.89</v>
      </c>
      <c r="W112" s="36">
        <f t="shared" si="94"/>
        <v>-0.163894788433263</v>
      </c>
      <c r="X112" s="35">
        <f>出租!X14-出租!X16</f>
        <v>300.68</v>
      </c>
      <c r="Y112" s="36">
        <f t="shared" si="95"/>
        <v>0.0621732372474215</v>
      </c>
      <c r="Z112" s="35">
        <f>出租!Z14-出租!Z16</f>
        <v>264.09</v>
      </c>
      <c r="AA112" s="36">
        <f t="shared" si="96"/>
        <v>-0.0832118308685693</v>
      </c>
      <c r="AB112" s="35">
        <f>出租!AB14-出租!AB16</f>
        <v>282.42</v>
      </c>
      <c r="AC112" s="36">
        <f t="shared" si="97"/>
        <v>-0.0765155974102418</v>
      </c>
      <c r="AD112" s="35">
        <f>出租!AD14-出租!AD16</f>
        <v>269.65</v>
      </c>
      <c r="AE112" s="36">
        <f t="shared" si="98"/>
        <v>0.00189492457457119</v>
      </c>
      <c r="AF112" s="35">
        <f>出租!AF14-出租!AF16</f>
        <v>245.63</v>
      </c>
      <c r="AG112" s="36">
        <f t="shared" si="99"/>
        <v>-0.284878304413649</v>
      </c>
      <c r="AH112" s="35">
        <f>出租!AH14-出租!AH16</f>
        <v>267.58</v>
      </c>
      <c r="AI112" s="36">
        <f t="shared" si="100"/>
        <v>-0.29511867442902</v>
      </c>
      <c r="AJ112" s="35">
        <f>出租!AJ14-出租!AJ16</f>
        <v>312.99</v>
      </c>
      <c r="AK112" s="36">
        <f t="shared" si="101"/>
        <v>0.274129859556279</v>
      </c>
      <c r="AL112" s="35">
        <f>出租!AL14-出租!AL16</f>
        <v>253.77</v>
      </c>
      <c r="AM112" s="36">
        <f t="shared" si="102"/>
        <v>-0.2331842630084</v>
      </c>
      <c r="AN112" s="35">
        <f>出租!AN14-出租!AN16</f>
        <v>250.41</v>
      </c>
      <c r="AO112" s="36">
        <f t="shared" si="103"/>
        <v>0.0164806170083218</v>
      </c>
      <c r="AP112" s="35">
        <f>出租!AP14-出租!AP16</f>
        <v>247.6</v>
      </c>
      <c r="AQ112" s="36">
        <f t="shared" si="104"/>
        <v>-0.0649193700668459</v>
      </c>
      <c r="AR112" s="35">
        <f>出租!AR14-出租!AR16</f>
        <v>249.72</v>
      </c>
      <c r="AS112" s="36">
        <f t="shared" si="105"/>
        <v>-0.165374331550802</v>
      </c>
      <c r="AT112" s="35">
        <f t="shared" si="106"/>
        <v>3200.43</v>
      </c>
      <c r="AU112" s="36">
        <f t="shared" si="107"/>
        <v>-0.101550459410977</v>
      </c>
      <c r="AV112" s="37"/>
      <c r="AW112" s="35">
        <v>306.05</v>
      </c>
      <c r="AX112" s="36"/>
      <c r="AY112" s="35">
        <v>283.08</v>
      </c>
      <c r="AZ112" s="36"/>
      <c r="BA112" s="35">
        <v>288.06</v>
      </c>
      <c r="BB112" s="36"/>
      <c r="BC112" s="35">
        <v>305.82</v>
      </c>
      <c r="BD112" s="36"/>
      <c r="BE112" s="35">
        <v>269.14</v>
      </c>
      <c r="BF112" s="36"/>
      <c r="BG112" s="35">
        <v>343.48</v>
      </c>
      <c r="BH112" s="36"/>
      <c r="BI112" s="35">
        <v>379.61</v>
      </c>
      <c r="BJ112" s="36"/>
      <c r="BK112" s="35">
        <v>245.65</v>
      </c>
      <c r="BL112" s="36"/>
      <c r="BM112" s="35">
        <v>330.94</v>
      </c>
      <c r="BN112" s="36"/>
      <c r="BO112" s="35">
        <v>246.35</v>
      </c>
      <c r="BP112" s="36"/>
      <c r="BQ112" s="35">
        <v>264.79</v>
      </c>
      <c r="BR112" s="36"/>
      <c r="BS112" s="35">
        <v>299.2</v>
      </c>
      <c r="BT112" s="36"/>
      <c r="BU112" s="35">
        <f t="shared" si="108"/>
        <v>3562.17</v>
      </c>
      <c r="BV112" s="36"/>
      <c r="BW112" s="40"/>
      <c r="BX112" s="46"/>
      <c r="BY112" s="46"/>
      <c r="BZ112" s="46"/>
      <c r="CA112" s="46"/>
      <c r="CB112" s="46"/>
      <c r="CC112" s="46"/>
      <c r="CD112" s="41"/>
      <c r="CE112" s="46"/>
      <c r="CF112" s="41"/>
      <c r="CG112" s="41"/>
      <c r="CH112" s="41"/>
      <c r="CI112" s="41"/>
      <c r="CJ112" s="47"/>
    </row>
    <row r="113" ht="28.8" customHeight="1" spans="1:88">
      <c r="A113" s="29"/>
      <c r="B113" s="34" t="s">
        <v>304</v>
      </c>
      <c r="C113" s="35">
        <f>网约车!C14-网约车!C16</f>
        <v>164.946611865434</v>
      </c>
      <c r="D113" s="36">
        <f t="shared" si="85"/>
        <v>0.91991946461472</v>
      </c>
      <c r="E113" s="35">
        <f>网约车!E14-网约车!E16</f>
        <v>143.566159947919</v>
      </c>
      <c r="F113" s="36">
        <f t="shared" si="86"/>
        <v>0.51533892553052</v>
      </c>
      <c r="G113" s="35">
        <f>网约车!G14-网约车!G16</f>
        <v>161.254442593795</v>
      </c>
      <c r="H113" s="36">
        <f t="shared" si="87"/>
        <v>0.0764618814116838</v>
      </c>
      <c r="I113" s="35">
        <f>网约车!I14-网约车!I16</f>
        <v>147.123707472008</v>
      </c>
      <c r="J113" s="36">
        <f t="shared" si="88"/>
        <v>-0.16161116010206</v>
      </c>
      <c r="K113" s="35">
        <f>网约车!K14-网约车!K16</f>
        <v>175.041852386874</v>
      </c>
      <c r="L113" s="36">
        <f t="shared" si="89"/>
        <v>-0.111029449147832</v>
      </c>
      <c r="M113" s="35">
        <f>网约车!M14-网约车!M16</f>
        <v>204.568266396664</v>
      </c>
      <c r="N113" s="36">
        <f t="shared" si="90"/>
        <v>0.122362946683082</v>
      </c>
      <c r="O113" s="35">
        <f>网约车!O14-网约车!O16</f>
        <v>230.907600548933</v>
      </c>
      <c r="P113" s="36">
        <f t="shared" si="91"/>
        <v>0.144141337176255</v>
      </c>
      <c r="Q113" s="127"/>
      <c r="R113" s="127"/>
      <c r="S113" s="131">
        <f t="shared" si="92"/>
        <v>1227.40864121163</v>
      </c>
      <c r="T113" s="132">
        <f t="shared" si="93"/>
        <v>-0.0576139344434006</v>
      </c>
      <c r="U113" s="35"/>
      <c r="V113" s="35">
        <f>网约车!V14-网约车!V16</f>
        <v>85.913297357259</v>
      </c>
      <c r="W113" s="36">
        <f t="shared" si="94"/>
        <v>-0.560680778742563</v>
      </c>
      <c r="X113" s="35">
        <f>网约车!X14-网约车!X16</f>
        <v>94.741946853676</v>
      </c>
      <c r="Y113" s="36">
        <f t="shared" si="95"/>
        <v>-0.264085458848605</v>
      </c>
      <c r="Z113" s="35">
        <f>网约车!Z14-网约车!Z16</f>
        <v>149.800420598567</v>
      </c>
      <c r="AA113" s="36">
        <f t="shared" si="96"/>
        <v>-0.119487149556543</v>
      </c>
      <c r="AB113" s="35">
        <f>网约车!AB14-网约车!AB16</f>
        <v>175.483857215845</v>
      </c>
      <c r="AC113" s="36">
        <f t="shared" si="97"/>
        <v>-0.0958688315437336</v>
      </c>
      <c r="AD113" s="35">
        <f>网约车!AD14-网约车!AD16</f>
        <v>196.903994422626</v>
      </c>
      <c r="AE113" s="36">
        <f t="shared" si="98"/>
        <v>-0.0129028624860313</v>
      </c>
      <c r="AF113" s="35">
        <f>网约车!AF14-网约车!AF16</f>
        <v>182.265698454519</v>
      </c>
      <c r="AG113" s="36">
        <f t="shared" si="99"/>
        <v>-0.157068497745779</v>
      </c>
      <c r="AH113" s="35">
        <f>网约车!AH14-网约车!AH16</f>
        <v>201.817374345388</v>
      </c>
      <c r="AI113" s="36">
        <f t="shared" si="100"/>
        <v>-0.238833090078168</v>
      </c>
      <c r="AJ113" s="35">
        <f>网约车!AJ14-网约车!AJ16</f>
        <v>215.521193112617</v>
      </c>
      <c r="AK113" s="36">
        <f t="shared" si="101"/>
        <v>0.0971467746815493</v>
      </c>
      <c r="AL113" s="35">
        <f>网约车!AL14-网约车!AL16</f>
        <v>188.834459191452</v>
      </c>
      <c r="AM113" s="36">
        <f t="shared" si="102"/>
        <v>-0.256267489152212</v>
      </c>
      <c r="AN113" s="35">
        <f>网约车!AN14-网约车!AN16</f>
        <v>205.544372982355</v>
      </c>
      <c r="AO113" s="36">
        <f t="shared" si="103"/>
        <v>-0.0761079952500956</v>
      </c>
      <c r="AP113" s="35">
        <f>网约车!AP14-网约车!AP16</f>
        <v>153.508806183882</v>
      </c>
      <c r="AQ113" s="36">
        <f t="shared" si="104"/>
        <v>-0.319436169155355</v>
      </c>
      <c r="AR113" s="35">
        <f>网约车!AR14-网约车!AR16</f>
        <v>147.073055560098</v>
      </c>
      <c r="AS113" s="36">
        <f t="shared" si="105"/>
        <v>-0.359670184977603</v>
      </c>
      <c r="AT113" s="35">
        <f t="shared" si="106"/>
        <v>1997.40847627828</v>
      </c>
      <c r="AU113" s="36">
        <f t="shared" si="107"/>
        <v>-0.200213969003145</v>
      </c>
      <c r="AV113" s="37"/>
      <c r="AW113" s="35">
        <v>195.560069307586</v>
      </c>
      <c r="AX113" s="36"/>
      <c r="AY113" s="35">
        <v>128.74041964906</v>
      </c>
      <c r="AZ113" s="36"/>
      <c r="BA113" s="35">
        <v>170.128602351598</v>
      </c>
      <c r="BB113" s="36"/>
      <c r="BC113" s="35">
        <v>194.091148871098</v>
      </c>
      <c r="BD113" s="36"/>
      <c r="BE113" s="35">
        <v>199.477829424705</v>
      </c>
      <c r="BF113" s="36"/>
      <c r="BG113" s="35">
        <v>216.228362526602</v>
      </c>
      <c r="BH113" s="36"/>
      <c r="BI113" s="35">
        <v>265.142075561474</v>
      </c>
      <c r="BJ113" s="36"/>
      <c r="BK113" s="35">
        <v>196.437886056925</v>
      </c>
      <c r="BL113" s="36"/>
      <c r="BM113" s="35">
        <v>253.901041620727</v>
      </c>
      <c r="BN113" s="36"/>
      <c r="BO113" s="35">
        <v>222.476622728211</v>
      </c>
      <c r="BP113" s="36"/>
      <c r="BQ113" s="35">
        <v>225.561217370842</v>
      </c>
      <c r="BR113" s="36"/>
      <c r="BS113" s="35">
        <v>229.683285253481</v>
      </c>
      <c r="BT113" s="36"/>
      <c r="BU113" s="35">
        <f t="shared" si="108"/>
        <v>2497.42856072231</v>
      </c>
      <c r="BV113" s="36"/>
      <c r="BW113" s="40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7"/>
    </row>
    <row r="114" s="15" customFormat="1" ht="28.8" customHeight="1" spans="1:88">
      <c r="A114" s="48" t="s">
        <v>95</v>
      </c>
      <c r="B114" s="34" t="s">
        <v>300</v>
      </c>
      <c r="C114" s="35">
        <f>C115+C116+C117+C118</f>
        <v>7165.69391067177</v>
      </c>
      <c r="D114" s="36">
        <f t="shared" si="85"/>
        <v>-0.203333803171321</v>
      </c>
      <c r="E114" s="35">
        <f>E115+E116+E117+E118</f>
        <v>8786.97856069023</v>
      </c>
      <c r="F114" s="36">
        <f t="shared" si="86"/>
        <v>-0.13565984939413</v>
      </c>
      <c r="G114" s="35">
        <f>G115+G116+G117+G118</f>
        <v>8458.55983130833</v>
      </c>
      <c r="H114" s="36">
        <f t="shared" si="87"/>
        <v>-0.0750335913282806</v>
      </c>
      <c r="I114" s="35">
        <f>I115+I116+I117+I118</f>
        <v>9244.20634160103</v>
      </c>
      <c r="J114" s="36">
        <f t="shared" si="88"/>
        <v>-0.0678080250601304</v>
      </c>
      <c r="K114" s="35">
        <f>K115+K116+K117+K118</f>
        <v>9118.88699541966</v>
      </c>
      <c r="L114" s="36">
        <f t="shared" si="89"/>
        <v>-0.0458078619710034</v>
      </c>
      <c r="M114" s="35">
        <f>M115+M116+M117+M118</f>
        <v>8457.42709740635</v>
      </c>
      <c r="N114" s="36">
        <f t="shared" si="90"/>
        <v>-0.145405465071677</v>
      </c>
      <c r="O114" s="35">
        <f>O115+O116+O117+O118</f>
        <v>8247.59001325919</v>
      </c>
      <c r="P114" s="36">
        <f t="shared" si="91"/>
        <v>-0.023021183430168</v>
      </c>
      <c r="Q114" s="127"/>
      <c r="R114" s="127"/>
      <c r="S114" s="131">
        <f t="shared" si="92"/>
        <v>59479.3427503566</v>
      </c>
      <c r="T114" s="132">
        <f t="shared" si="93"/>
        <v>-0.204452750836045</v>
      </c>
      <c r="U114" s="35"/>
      <c r="V114" s="35">
        <f>V115+V116+V117+V118</f>
        <v>8994.60017156061</v>
      </c>
      <c r="W114" s="36">
        <f t="shared" si="94"/>
        <v>-0.176785640194339</v>
      </c>
      <c r="X114" s="35">
        <f>X115+X116+X117+X118</f>
        <v>10166.1117495593</v>
      </c>
      <c r="Y114" s="36">
        <f t="shared" si="95"/>
        <v>-0.109420873527746</v>
      </c>
      <c r="Z114" s="35">
        <f>Z115+Z116+Z117+Z118</f>
        <v>9144.72109690457</v>
      </c>
      <c r="AA114" s="36">
        <f t="shared" si="96"/>
        <v>-0.165003465520006</v>
      </c>
      <c r="AB114" s="35">
        <f>AB115+AB116+AB117+AB118</f>
        <v>9916.63368717299</v>
      </c>
      <c r="AC114" s="36">
        <f t="shared" si="97"/>
        <v>-0.168708180752367</v>
      </c>
      <c r="AD114" s="35">
        <f>AD115+AD116+AD117+AD118</f>
        <v>9556.65702114866</v>
      </c>
      <c r="AE114" s="36">
        <f t="shared" si="98"/>
        <v>-0.160019060857274</v>
      </c>
      <c r="AF114" s="35">
        <f>AF115+AF116+AF117+AF118</f>
        <v>9896.42076065429</v>
      </c>
      <c r="AG114" s="36">
        <f t="shared" si="99"/>
        <v>0.0136871505927543</v>
      </c>
      <c r="AH114" s="35">
        <f>AH115+AH116+AH117+AH118</f>
        <v>8441.93330845846</v>
      </c>
      <c r="AI114" s="36">
        <f t="shared" si="100"/>
        <v>-0.193954038731203</v>
      </c>
      <c r="AJ114" s="35">
        <f>AJ115+AJ116+AJ117+AJ118</f>
        <v>8648.23980555564</v>
      </c>
      <c r="AK114" s="36">
        <f t="shared" si="101"/>
        <v>-0.142756093921467</v>
      </c>
      <c r="AL114" s="35">
        <f>AL115+AL116+AL117+AL118</f>
        <v>8023.7989827078</v>
      </c>
      <c r="AM114" s="36">
        <f t="shared" si="102"/>
        <v>-0.274768387912913</v>
      </c>
      <c r="AN114" s="35">
        <f>AN115+AN116+AN117+AN118</f>
        <v>8295.35182384744</v>
      </c>
      <c r="AO114" s="36">
        <f t="shared" si="103"/>
        <v>-0.235415823661562</v>
      </c>
      <c r="AP114" s="35">
        <f>AP115+AP116+AP117+AP118</f>
        <v>7566.1203759958</v>
      </c>
      <c r="AQ114" s="36">
        <f t="shared" si="104"/>
        <v>-0.138061676004836</v>
      </c>
      <c r="AR114" s="35">
        <f>AR115+AR116+AR117+AR118</f>
        <v>6848.51735756354</v>
      </c>
      <c r="AS114" s="36">
        <f t="shared" si="105"/>
        <v>-0.198808117693939</v>
      </c>
      <c r="AT114" s="35">
        <f t="shared" si="106"/>
        <v>105499.106141129</v>
      </c>
      <c r="AU114" s="36">
        <f t="shared" si="107"/>
        <v>-0.163789145654099</v>
      </c>
      <c r="AV114" s="37"/>
      <c r="AW114" s="38">
        <f>AW115+AW116+AW117+AW118</f>
        <v>10926.1944527838</v>
      </c>
      <c r="AX114" s="37"/>
      <c r="AY114" s="38">
        <f>AY115+AY116+AY117+AY118</f>
        <v>11415.1695760366</v>
      </c>
      <c r="AZ114" s="37"/>
      <c r="BA114" s="38">
        <f>BA115+BA116+BA117+BA118</f>
        <v>10951.8072462415</v>
      </c>
      <c r="BB114" s="37"/>
      <c r="BC114" s="38">
        <f>BC115+BC116+BC117+BC118</f>
        <v>11929.1847430282</v>
      </c>
      <c r="BD114" s="37"/>
      <c r="BE114" s="38">
        <f>BE115+BE116+BE117+BE118</f>
        <v>11377.2308106206</v>
      </c>
      <c r="BF114" s="37"/>
      <c r="BG114" s="38">
        <f>BG115+BG116+BG117+BG118</f>
        <v>9762.79590292463</v>
      </c>
      <c r="BH114" s="37"/>
      <c r="BI114" s="38">
        <f>BI115+BI116+BI117+BI118</f>
        <v>10473.26543907</v>
      </c>
      <c r="BJ114" s="37"/>
      <c r="BK114" s="38">
        <f>BK115+BK116+BK117+BK118</f>
        <v>10088.4237779153</v>
      </c>
      <c r="BL114" s="37"/>
      <c r="BM114" s="38">
        <f>BM115+BM116+BM117+BM118</f>
        <v>11063.7744535387</v>
      </c>
      <c r="BN114" s="37"/>
      <c r="BO114" s="38">
        <f>BO115+BO116+BO117+BO118</f>
        <v>10849.4945103017</v>
      </c>
      <c r="BP114" s="37"/>
      <c r="BQ114" s="38">
        <f>BQ115+BQ116+BQ117+BQ118</f>
        <v>8778.02989537132</v>
      </c>
      <c r="BR114" s="37"/>
      <c r="BS114" s="38">
        <f>BS115+BS116+BS117+BS118</f>
        <v>8547.91156626741</v>
      </c>
      <c r="BT114" s="37"/>
      <c r="BU114" s="38">
        <f t="shared" si="108"/>
        <v>126163.2823741</v>
      </c>
      <c r="BV114" s="37"/>
      <c r="BW114" s="39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</row>
    <row r="115" ht="28.8" customHeight="1" spans="1:88">
      <c r="A115" s="45"/>
      <c r="B115" s="34" t="s">
        <v>301</v>
      </c>
      <c r="C115" s="35">
        <f>班线包车!C15</f>
        <v>4442.6528</v>
      </c>
      <c r="D115" s="36">
        <f t="shared" si="85"/>
        <v>-0.16493417849426</v>
      </c>
      <c r="E115" s="35">
        <f>班线包车!E15</f>
        <v>6222.1126</v>
      </c>
      <c r="F115" s="36">
        <f t="shared" si="86"/>
        <v>-0.0774537543883538</v>
      </c>
      <c r="G115" s="35">
        <f>班线包车!G15</f>
        <v>5800.6944</v>
      </c>
      <c r="H115" s="36">
        <f t="shared" si="87"/>
        <v>0.119223040392092</v>
      </c>
      <c r="I115" s="35">
        <f>班线包车!I15</f>
        <v>6318.1348</v>
      </c>
      <c r="J115" s="36">
        <f t="shared" si="88"/>
        <v>0.00475011802938075</v>
      </c>
      <c r="K115" s="35">
        <f>班线包车!K15</f>
        <v>6328.6093</v>
      </c>
      <c r="L115" s="36">
        <f t="shared" si="89"/>
        <v>0.0475888111865888</v>
      </c>
      <c r="M115" s="35">
        <f>班线包车!M15</f>
        <v>5538.8125</v>
      </c>
      <c r="N115" s="36">
        <f t="shared" si="90"/>
        <v>-0.125731762741486</v>
      </c>
      <c r="O115" s="35">
        <f>班线包车!O15</f>
        <v>5530.4414</v>
      </c>
      <c r="P115" s="36">
        <f t="shared" si="91"/>
        <v>0.0747250099253525</v>
      </c>
      <c r="Q115" s="127"/>
      <c r="R115" s="127"/>
      <c r="S115" s="131">
        <f t="shared" si="92"/>
        <v>40181.4578</v>
      </c>
      <c r="T115" s="132">
        <f t="shared" si="93"/>
        <v>-0.147251098534396</v>
      </c>
      <c r="U115" s="35"/>
      <c r="V115" s="35">
        <f>班线包车!V15</f>
        <v>5320.1229</v>
      </c>
      <c r="W115" s="36">
        <f t="shared" si="94"/>
        <v>-0.0166716694496187</v>
      </c>
      <c r="X115" s="35">
        <f>班线包车!X15</f>
        <v>6744.4994</v>
      </c>
      <c r="Y115" s="36">
        <f t="shared" si="95"/>
        <v>-0.013559120692855</v>
      </c>
      <c r="Z115" s="35">
        <f>班线包车!Z15</f>
        <v>5182.7868</v>
      </c>
      <c r="AA115" s="36">
        <f t="shared" si="96"/>
        <v>-0.1095356725612</v>
      </c>
      <c r="AB115" s="35">
        <f>班线包车!AB15</f>
        <v>6288.2648</v>
      </c>
      <c r="AC115" s="36">
        <f t="shared" si="97"/>
        <v>-0.0262724567878209</v>
      </c>
      <c r="AD115" s="35">
        <f>班线包车!AD15</f>
        <v>6041.1196</v>
      </c>
      <c r="AE115" s="36">
        <f t="shared" si="98"/>
        <v>-0.0204254836559501</v>
      </c>
      <c r="AF115" s="35">
        <f>班线包车!AF15</f>
        <v>6335.3697</v>
      </c>
      <c r="AG115" s="36">
        <f t="shared" si="99"/>
        <v>0.125103337863379</v>
      </c>
      <c r="AH115" s="35">
        <f>班线包车!AH15</f>
        <v>5145.913</v>
      </c>
      <c r="AI115" s="36">
        <f t="shared" si="100"/>
        <v>-0.161088227491939</v>
      </c>
      <c r="AJ115" s="35">
        <f>班线包车!AJ15</f>
        <v>6061.8412</v>
      </c>
      <c r="AK115" s="36">
        <f t="shared" si="101"/>
        <v>-0.045287956853571</v>
      </c>
      <c r="AL115" s="35">
        <f>班线包车!AL15</f>
        <v>5254.1807</v>
      </c>
      <c r="AM115" s="36">
        <f t="shared" si="102"/>
        <v>-0.0739933037249321</v>
      </c>
      <c r="AN115" s="35">
        <f>班线包车!AN15</f>
        <v>5743.0441</v>
      </c>
      <c r="AO115" s="36">
        <f t="shared" si="103"/>
        <v>-0.190949885301862</v>
      </c>
      <c r="AP115" s="35">
        <f>班线包车!AP15</f>
        <v>4862.8408</v>
      </c>
      <c r="AQ115" s="36">
        <f t="shared" si="104"/>
        <v>-0.0547961713851564</v>
      </c>
      <c r="AR115" s="35">
        <f>班线包车!AR15</f>
        <v>4174.5837</v>
      </c>
      <c r="AS115" s="36">
        <f t="shared" si="105"/>
        <v>-0.108854567533092</v>
      </c>
      <c r="AT115" s="35">
        <f t="shared" si="106"/>
        <v>67154.5667</v>
      </c>
      <c r="AU115" s="36">
        <f t="shared" si="107"/>
        <v>-0.0595784170180674</v>
      </c>
      <c r="AV115" s="37"/>
      <c r="AW115" s="35">
        <v>5410.322</v>
      </c>
      <c r="AX115" s="36"/>
      <c r="AY115" s="35">
        <v>6837.2059</v>
      </c>
      <c r="AZ115" s="36"/>
      <c r="BA115" s="35">
        <v>5820.3194</v>
      </c>
      <c r="BB115" s="36"/>
      <c r="BC115" s="35">
        <v>6457.9305</v>
      </c>
      <c r="BD115" s="36"/>
      <c r="BE115" s="35">
        <v>6167.0853</v>
      </c>
      <c r="BF115" s="36"/>
      <c r="BG115" s="35">
        <v>5630.9225</v>
      </c>
      <c r="BH115" s="36"/>
      <c r="BI115" s="35">
        <v>6134.0336</v>
      </c>
      <c r="BJ115" s="36"/>
      <c r="BK115" s="35">
        <v>6349.3922</v>
      </c>
      <c r="BL115" s="36"/>
      <c r="BM115" s="35">
        <v>5674.0202</v>
      </c>
      <c r="BN115" s="36"/>
      <c r="BO115" s="35">
        <v>7098.5023</v>
      </c>
      <c r="BP115" s="36"/>
      <c r="BQ115" s="35">
        <v>5144.7536</v>
      </c>
      <c r="BR115" s="36"/>
      <c r="BS115" s="35">
        <v>4684.5145</v>
      </c>
      <c r="BT115" s="36"/>
      <c r="BU115" s="35">
        <f t="shared" si="108"/>
        <v>71409.002</v>
      </c>
      <c r="BV115" s="36"/>
      <c r="BW115" s="40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7"/>
    </row>
    <row r="116" ht="28.8" customHeight="1" spans="1:88">
      <c r="A116" s="45"/>
      <c r="B116" s="34" t="s">
        <v>302</v>
      </c>
      <c r="C116" s="35">
        <f>公交!C18-公交!C20</f>
        <v>2382.46</v>
      </c>
      <c r="D116" s="36">
        <f t="shared" si="85"/>
        <v>-0.0999123509588506</v>
      </c>
      <c r="E116" s="35">
        <f>公交!E18-公交!E20</f>
        <v>2303.04</v>
      </c>
      <c r="F116" s="36">
        <f t="shared" si="86"/>
        <v>-0.0480866998983212</v>
      </c>
      <c r="G116" s="35">
        <f>公交!G18-公交!G20</f>
        <v>2284.65</v>
      </c>
      <c r="H116" s="36">
        <f t="shared" si="87"/>
        <v>-0.225334920198968</v>
      </c>
      <c r="I116" s="35">
        <f>公交!I18-公交!I20</f>
        <v>2590.88</v>
      </c>
      <c r="J116" s="36">
        <f t="shared" si="88"/>
        <v>-0.0219403548508874</v>
      </c>
      <c r="K116" s="35">
        <f>公交!K18-公交!K20</f>
        <v>2426.63</v>
      </c>
      <c r="L116" s="36">
        <f t="shared" si="89"/>
        <v>-0.0243213033548842</v>
      </c>
      <c r="M116" s="35">
        <f>公交!M18-公交!M20</f>
        <v>2539.21</v>
      </c>
      <c r="N116" s="36">
        <f t="shared" si="90"/>
        <v>0.00177535102635096</v>
      </c>
      <c r="O116" s="35">
        <f>公交!O18-公交!O20</f>
        <v>2282.28</v>
      </c>
      <c r="P116" s="36">
        <f t="shared" si="91"/>
        <v>-0.112188214791417</v>
      </c>
      <c r="Q116" s="127"/>
      <c r="R116" s="127"/>
      <c r="S116" s="131">
        <f t="shared" si="92"/>
        <v>16809.15</v>
      </c>
      <c r="T116" s="132">
        <f t="shared" si="93"/>
        <v>-0.177631321453313</v>
      </c>
      <c r="U116" s="35"/>
      <c r="V116" s="35">
        <f>公交!V18-公交!V20</f>
        <v>2646.92</v>
      </c>
      <c r="W116" s="36">
        <f t="shared" si="94"/>
        <v>-0.365408313474273</v>
      </c>
      <c r="X116" s="35">
        <f>公交!X18-公交!X20</f>
        <v>2419.38</v>
      </c>
      <c r="Y116" s="36">
        <f t="shared" si="95"/>
        <v>-0.29316590901123</v>
      </c>
      <c r="Z116" s="35">
        <f>公交!Z18-公交!Z20</f>
        <v>2949.21</v>
      </c>
      <c r="AA116" s="36">
        <f t="shared" si="96"/>
        <v>-0.266040684681277</v>
      </c>
      <c r="AB116" s="35">
        <f>公交!AB18-公交!AB20</f>
        <v>2649</v>
      </c>
      <c r="AC116" s="36">
        <f t="shared" si="97"/>
        <v>-0.381990229426504</v>
      </c>
      <c r="AD116" s="35">
        <f>公交!AD18-公交!AD20</f>
        <v>2487.12</v>
      </c>
      <c r="AE116" s="36">
        <f t="shared" si="98"/>
        <v>-0.383631713554987</v>
      </c>
      <c r="AF116" s="35">
        <f>公交!AF18-公交!AF20</f>
        <v>2534.71</v>
      </c>
      <c r="AG116" s="36">
        <f t="shared" si="99"/>
        <v>-0.172188220539919</v>
      </c>
      <c r="AH116" s="35">
        <f>公交!AH18-公交!AH20</f>
        <v>2570.68</v>
      </c>
      <c r="AI116" s="36">
        <f t="shared" si="100"/>
        <v>-0.15822219020456</v>
      </c>
      <c r="AJ116" s="35">
        <f>公交!AJ18-公交!AJ20</f>
        <v>2182.9</v>
      </c>
      <c r="AK116" s="36">
        <f t="shared" si="101"/>
        <v>-0.119059533802544</v>
      </c>
      <c r="AL116" s="35">
        <f>公交!AL18-公交!AL20</f>
        <v>2341.65</v>
      </c>
      <c r="AM116" s="36">
        <f t="shared" si="102"/>
        <v>-0.446121204523468</v>
      </c>
      <c r="AN116" s="35">
        <f>公交!AN18-公交!AN20</f>
        <v>2162.9</v>
      </c>
      <c r="AO116" s="36">
        <f t="shared" si="103"/>
        <v>-0.170409521362079</v>
      </c>
      <c r="AP116" s="35">
        <f>公交!AP18-公交!AP20</f>
        <v>2386.54</v>
      </c>
      <c r="AQ116" s="36">
        <f t="shared" si="104"/>
        <v>-0.0697998924236637</v>
      </c>
      <c r="AR116" s="35">
        <f>公交!AR18-公交!AR20</f>
        <v>2301.94</v>
      </c>
      <c r="AS116" s="36">
        <f t="shared" si="105"/>
        <v>-0.114726988839577</v>
      </c>
      <c r="AT116" s="35">
        <f t="shared" si="106"/>
        <v>29632.95</v>
      </c>
      <c r="AU116" s="36">
        <f t="shared" si="107"/>
        <v>-0.26882970856524</v>
      </c>
      <c r="AV116" s="37"/>
      <c r="AW116" s="35">
        <v>4171.06</v>
      </c>
      <c r="AX116" s="36"/>
      <c r="AY116" s="35">
        <v>3422.84</v>
      </c>
      <c r="AZ116" s="36"/>
      <c r="BA116" s="35">
        <v>4018.22</v>
      </c>
      <c r="BB116" s="36"/>
      <c r="BC116" s="35">
        <v>4286.34</v>
      </c>
      <c r="BD116" s="36"/>
      <c r="BE116" s="35">
        <v>4035.12</v>
      </c>
      <c r="BF116" s="36"/>
      <c r="BG116" s="35">
        <v>3061.94</v>
      </c>
      <c r="BH116" s="36"/>
      <c r="BI116" s="35">
        <v>3053.87</v>
      </c>
      <c r="BJ116" s="36"/>
      <c r="BK116" s="35">
        <v>2477.92</v>
      </c>
      <c r="BL116" s="36"/>
      <c r="BM116" s="35">
        <v>4227.73</v>
      </c>
      <c r="BN116" s="36"/>
      <c r="BO116" s="35">
        <v>2607.19</v>
      </c>
      <c r="BP116" s="36"/>
      <c r="BQ116" s="35">
        <v>2565.62</v>
      </c>
      <c r="BR116" s="36"/>
      <c r="BS116" s="35">
        <v>2600.26</v>
      </c>
      <c r="BT116" s="36"/>
      <c r="BU116" s="35">
        <f t="shared" si="108"/>
        <v>40528.11</v>
      </c>
      <c r="BV116" s="36"/>
      <c r="BW116" s="40"/>
      <c r="BX116" s="46"/>
      <c r="BY116" s="46"/>
      <c r="BZ116" s="46"/>
      <c r="CA116" s="46"/>
      <c r="CB116" s="46"/>
      <c r="CC116" s="46"/>
      <c r="CD116" s="41"/>
      <c r="CE116" s="46"/>
      <c r="CF116" s="41"/>
      <c r="CG116" s="41"/>
      <c r="CH116" s="41"/>
      <c r="CI116" s="41"/>
      <c r="CJ116" s="47"/>
    </row>
    <row r="117" ht="28.8" customHeight="1" spans="1:88">
      <c r="A117" s="45"/>
      <c r="B117" s="34" t="s">
        <v>303</v>
      </c>
      <c r="C117" s="35">
        <f>出租!C18-出租!C20</f>
        <v>83.79</v>
      </c>
      <c r="D117" s="36">
        <f t="shared" si="85"/>
        <v>-0.88452156176353</v>
      </c>
      <c r="E117" s="35">
        <f>出租!E18-出租!E20</f>
        <v>46.8499999999999</v>
      </c>
      <c r="F117" s="36">
        <f t="shared" si="86"/>
        <v>-0.932939223039707</v>
      </c>
      <c r="G117" s="35">
        <f>出租!G18-出租!G20</f>
        <v>51.28</v>
      </c>
      <c r="H117" s="36">
        <f t="shared" si="87"/>
        <v>-0.923117288115264</v>
      </c>
      <c r="I117" s="35">
        <f>出租!I18-出租!I20</f>
        <v>52.48</v>
      </c>
      <c r="J117" s="36">
        <f t="shared" si="88"/>
        <v>-0.914322563792794</v>
      </c>
      <c r="K117" s="35">
        <f>出租!K18-出租!K20</f>
        <v>56.0200000000002</v>
      </c>
      <c r="L117" s="36">
        <f t="shared" si="89"/>
        <v>-0.910058601589467</v>
      </c>
      <c r="M117" s="35">
        <f>出租!M18-出租!M20</f>
        <v>50.5</v>
      </c>
      <c r="N117" s="36">
        <f t="shared" si="90"/>
        <v>-0.919165079314264</v>
      </c>
      <c r="O117" s="35">
        <f>出租!O18-出租!O20</f>
        <v>54.3000000000002</v>
      </c>
      <c r="P117" s="36">
        <f t="shared" si="91"/>
        <v>-0.865494178845677</v>
      </c>
      <c r="Q117" s="127"/>
      <c r="R117" s="127"/>
      <c r="S117" s="131">
        <f t="shared" si="92"/>
        <v>395.22</v>
      </c>
      <c r="T117" s="132">
        <f t="shared" si="93"/>
        <v>-0.912075639599555</v>
      </c>
      <c r="U117" s="35"/>
      <c r="V117" s="35">
        <f>出租!V18-出租!V20</f>
        <v>725.59</v>
      </c>
      <c r="W117" s="36">
        <f t="shared" si="94"/>
        <v>-0.123609483893566</v>
      </c>
      <c r="X117" s="35">
        <f>出租!X18-出租!X20</f>
        <v>698.62</v>
      </c>
      <c r="Y117" s="36">
        <f t="shared" si="95"/>
        <v>-0.0998324958123955</v>
      </c>
      <c r="Z117" s="35">
        <f>出租!Z18-出租!Z20</f>
        <v>666.99</v>
      </c>
      <c r="AA117" s="36">
        <f t="shared" si="96"/>
        <v>-0.00650917540514806</v>
      </c>
      <c r="AB117" s="35">
        <f>出租!AB18-出租!AB20</f>
        <v>612.53</v>
      </c>
      <c r="AC117" s="36">
        <f t="shared" si="97"/>
        <v>-0.131150796465198</v>
      </c>
      <c r="AD117" s="35">
        <f>出租!AD18-出租!AD20</f>
        <v>622.85</v>
      </c>
      <c r="AE117" s="36">
        <f t="shared" si="98"/>
        <v>-0.0952076584494252</v>
      </c>
      <c r="AF117" s="35">
        <f>出租!AF18-出租!AF20</f>
        <v>624.73</v>
      </c>
      <c r="AG117" s="36">
        <f t="shared" si="99"/>
        <v>-0.00132681117718514</v>
      </c>
      <c r="AH117" s="35">
        <f>出租!AH18-出租!AH20</f>
        <v>403.7</v>
      </c>
      <c r="AI117" s="36">
        <f t="shared" si="100"/>
        <v>-0.440881957813387</v>
      </c>
      <c r="AJ117" s="35">
        <f>出租!AJ18-出租!AJ20</f>
        <v>139.99</v>
      </c>
      <c r="AK117" s="36">
        <f t="shared" si="101"/>
        <v>-0.803249427274388</v>
      </c>
      <c r="AL117" s="35">
        <f>出租!AL18-出租!AL20</f>
        <v>137.21</v>
      </c>
      <c r="AM117" s="36">
        <f t="shared" si="102"/>
        <v>-0.79193582628211</v>
      </c>
      <c r="AN117" s="35">
        <f>出租!AN18-出租!AN20</f>
        <v>147.52</v>
      </c>
      <c r="AO117" s="36">
        <f t="shared" si="103"/>
        <v>-0.787789861326889</v>
      </c>
      <c r="AP117" s="35">
        <f>出租!AP18-出租!AP20</f>
        <v>133.75</v>
      </c>
      <c r="AQ117" s="36">
        <f t="shared" si="104"/>
        <v>-0.78435419118714</v>
      </c>
      <c r="AR117" s="35">
        <f>出租!AR18-出租!AR20</f>
        <v>136.32</v>
      </c>
      <c r="AS117" s="36">
        <f t="shared" si="105"/>
        <v>-0.805426699590357</v>
      </c>
      <c r="AT117" s="35">
        <f t="shared" si="106"/>
        <v>5049.8</v>
      </c>
      <c r="AU117" s="36">
        <f t="shared" si="107"/>
        <v>-0.399071558536913</v>
      </c>
      <c r="AV117" s="37"/>
      <c r="AW117" s="35">
        <v>827.93</v>
      </c>
      <c r="AX117" s="36"/>
      <c r="AY117" s="35">
        <v>776.1</v>
      </c>
      <c r="AZ117" s="36"/>
      <c r="BA117" s="35">
        <v>671.36</v>
      </c>
      <c r="BB117" s="36"/>
      <c r="BC117" s="35">
        <v>704.99</v>
      </c>
      <c r="BD117" s="36"/>
      <c r="BE117" s="35">
        <v>688.39</v>
      </c>
      <c r="BF117" s="36"/>
      <c r="BG117" s="35">
        <v>625.56</v>
      </c>
      <c r="BH117" s="36"/>
      <c r="BI117" s="35">
        <v>722.03</v>
      </c>
      <c r="BJ117" s="36"/>
      <c r="BK117" s="35">
        <v>711.51</v>
      </c>
      <c r="BL117" s="36"/>
      <c r="BM117" s="35">
        <v>659.46</v>
      </c>
      <c r="BN117" s="36"/>
      <c r="BO117" s="35">
        <v>695.16</v>
      </c>
      <c r="BP117" s="36"/>
      <c r="BQ117" s="35">
        <v>620.23</v>
      </c>
      <c r="BR117" s="36"/>
      <c r="BS117" s="35">
        <v>700.61</v>
      </c>
      <c r="BT117" s="36"/>
      <c r="BU117" s="35">
        <f t="shared" si="108"/>
        <v>8403.33</v>
      </c>
      <c r="BV117" s="36"/>
      <c r="BW117" s="40"/>
      <c r="BX117" s="46"/>
      <c r="BY117" s="46"/>
      <c r="BZ117" s="46"/>
      <c r="CA117" s="46"/>
      <c r="CB117" s="46"/>
      <c r="CC117" s="46"/>
      <c r="CD117" s="41"/>
      <c r="CE117" s="46"/>
      <c r="CF117" s="41"/>
      <c r="CG117" s="41"/>
      <c r="CH117" s="41"/>
      <c r="CI117" s="41"/>
      <c r="CJ117" s="47"/>
    </row>
    <row r="118" ht="28.8" customHeight="1" spans="1:88">
      <c r="A118" s="29"/>
      <c r="B118" s="34" t="s">
        <v>304</v>
      </c>
      <c r="C118" s="35">
        <f>网约车!C18-网约车!C20</f>
        <v>256.79111067177</v>
      </c>
      <c r="D118" s="36">
        <f t="shared" si="85"/>
        <v>-0.149606149882932</v>
      </c>
      <c r="E118" s="35">
        <f>网约车!E18-网约车!E20</f>
        <v>214.97596069023</v>
      </c>
      <c r="F118" s="36">
        <f t="shared" si="86"/>
        <v>-0.291939339746093</v>
      </c>
      <c r="G118" s="35">
        <f>网约车!G18-网约车!G20</f>
        <v>321.93543130833</v>
      </c>
      <c r="H118" s="36">
        <f t="shared" si="87"/>
        <v>-0.0688357094141943</v>
      </c>
      <c r="I118" s="35">
        <f>网约车!I18-网约车!I20</f>
        <v>282.71154160103</v>
      </c>
      <c r="J118" s="36">
        <f t="shared" si="88"/>
        <v>-0.229330500428342</v>
      </c>
      <c r="K118" s="35">
        <f>网约车!K18-网约车!K20</f>
        <v>307.62769541966</v>
      </c>
      <c r="L118" s="36">
        <f t="shared" si="89"/>
        <v>-0.241488148756159</v>
      </c>
      <c r="M118" s="35">
        <f>网约车!M18-网约车!M20</f>
        <v>328.90459740635</v>
      </c>
      <c r="N118" s="36">
        <f t="shared" si="90"/>
        <v>-0.181037004134023</v>
      </c>
      <c r="O118" s="35">
        <f>网约车!O18-网约车!O20</f>
        <v>380.56861325919</v>
      </c>
      <c r="P118" s="36">
        <f t="shared" si="91"/>
        <v>0.183211815344785</v>
      </c>
      <c r="Q118" s="127"/>
      <c r="R118" s="127"/>
      <c r="S118" s="131">
        <f t="shared" si="92"/>
        <v>2093.51495035656</v>
      </c>
      <c r="T118" s="132">
        <f t="shared" si="93"/>
        <v>-0.227622120400313</v>
      </c>
      <c r="U118" s="35"/>
      <c r="V118" s="35">
        <f>网约车!V18-网约车!V20</f>
        <v>301.967271560606</v>
      </c>
      <c r="W118" s="36">
        <f t="shared" si="94"/>
        <v>-0.415791211455774</v>
      </c>
      <c r="X118" s="35">
        <f>网约车!X18-网约车!X20</f>
        <v>303.612349559345</v>
      </c>
      <c r="Y118" s="36">
        <f t="shared" si="95"/>
        <v>-0.198962047083293</v>
      </c>
      <c r="Z118" s="35">
        <f>网约车!Z18-网约车!Z20</f>
        <v>345.734296904574</v>
      </c>
      <c r="AA118" s="36">
        <f t="shared" si="96"/>
        <v>-0.217632590493541</v>
      </c>
      <c r="AB118" s="35">
        <f>网约车!AB18-网约车!AB20</f>
        <v>366.838887172987</v>
      </c>
      <c r="AC118" s="36">
        <f t="shared" si="97"/>
        <v>-0.235631680411979</v>
      </c>
      <c r="AD118" s="35">
        <f>网约车!AD18-网约车!AD20</f>
        <v>405.567421148659</v>
      </c>
      <c r="AE118" s="36">
        <f t="shared" si="98"/>
        <v>-0.166588930940474</v>
      </c>
      <c r="AF118" s="35">
        <f>网约车!AF18-网约车!AF20</f>
        <v>401.61106065429</v>
      </c>
      <c r="AG118" s="36">
        <f t="shared" si="99"/>
        <v>-0.0962306519447528</v>
      </c>
      <c r="AH118" s="35">
        <f>网约车!AH18-网约车!AH20</f>
        <v>321.640308458459</v>
      </c>
      <c r="AI118" s="36">
        <f t="shared" si="100"/>
        <v>-0.429039358063892</v>
      </c>
      <c r="AJ118" s="35">
        <f>网约车!AJ18-网约车!AJ20</f>
        <v>263.508605555641</v>
      </c>
      <c r="AK118" s="36">
        <f t="shared" si="101"/>
        <v>-0.520546126240811</v>
      </c>
      <c r="AL118" s="35">
        <f>网约车!AL18-网约车!AL20</f>
        <v>290.758282707798</v>
      </c>
      <c r="AM118" s="36">
        <f t="shared" si="102"/>
        <v>-0.42145052963778</v>
      </c>
      <c r="AN118" s="35">
        <f>网约车!AN18-网约车!AN20</f>
        <v>241.887723847439</v>
      </c>
      <c r="AO118" s="36">
        <f t="shared" si="103"/>
        <v>-0.460844926551233</v>
      </c>
      <c r="AP118" s="35">
        <f>网约车!AP18-网约车!AP20</f>
        <v>182.989575995803</v>
      </c>
      <c r="AQ118" s="36">
        <f t="shared" si="104"/>
        <v>-0.591017385681502</v>
      </c>
      <c r="AR118" s="35">
        <f>网约车!AR18-网约车!AR20</f>
        <v>235.673657563537</v>
      </c>
      <c r="AS118" s="36">
        <f t="shared" si="105"/>
        <v>-0.581044767983651</v>
      </c>
      <c r="AT118" s="35">
        <f t="shared" si="106"/>
        <v>3661.78944112914</v>
      </c>
      <c r="AU118" s="36">
        <f t="shared" si="107"/>
        <v>-0.371133466509422</v>
      </c>
      <c r="AV118" s="37"/>
      <c r="AW118" s="35">
        <v>516.882452783824</v>
      </c>
      <c r="AX118" s="36"/>
      <c r="AY118" s="35">
        <v>379.023676036627</v>
      </c>
      <c r="AZ118" s="36"/>
      <c r="BA118" s="35">
        <v>441.907846241542</v>
      </c>
      <c r="BB118" s="36"/>
      <c r="BC118" s="35">
        <v>479.924243028159</v>
      </c>
      <c r="BD118" s="36"/>
      <c r="BE118" s="35">
        <v>486.63551062062</v>
      </c>
      <c r="BF118" s="36"/>
      <c r="BG118" s="35">
        <v>444.373402924636</v>
      </c>
      <c r="BH118" s="36"/>
      <c r="BI118" s="35">
        <v>563.331839070006</v>
      </c>
      <c r="BJ118" s="36"/>
      <c r="BK118" s="35">
        <v>549.601577915274</v>
      </c>
      <c r="BL118" s="36"/>
      <c r="BM118" s="35">
        <v>502.564253538698</v>
      </c>
      <c r="BN118" s="36"/>
      <c r="BO118" s="35">
        <v>448.642210301716</v>
      </c>
      <c r="BP118" s="36"/>
      <c r="BQ118" s="35">
        <v>447.42629537132</v>
      </c>
      <c r="BR118" s="36"/>
      <c r="BS118" s="35">
        <v>562.527066267406</v>
      </c>
      <c r="BT118" s="36"/>
      <c r="BU118" s="35">
        <f t="shared" si="108"/>
        <v>5822.84037409983</v>
      </c>
      <c r="BV118" s="36"/>
      <c r="BW118" s="40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7"/>
    </row>
    <row r="119" s="15" customFormat="1" ht="28.8" customHeight="1" spans="1:88">
      <c r="A119" s="48" t="s">
        <v>96</v>
      </c>
      <c r="B119" s="34" t="s">
        <v>300</v>
      </c>
      <c r="C119" s="35">
        <f>C120+C121+C122+C123</f>
        <v>13411.3215023799</v>
      </c>
      <c r="D119" s="36">
        <f t="shared" si="85"/>
        <v>-0.22763450219913</v>
      </c>
      <c r="E119" s="35">
        <f>E120+E121+E122+E123</f>
        <v>15665.6798545577</v>
      </c>
      <c r="F119" s="36">
        <f t="shared" si="86"/>
        <v>-0.120760255268697</v>
      </c>
      <c r="G119" s="35">
        <f>G120+G121+G122+G123</f>
        <v>16808.1886897792</v>
      </c>
      <c r="H119" s="36">
        <f t="shared" si="87"/>
        <v>-0.0903616682403316</v>
      </c>
      <c r="I119" s="35">
        <f>I120+I121+I122+I123</f>
        <v>19190.1623705463</v>
      </c>
      <c r="J119" s="36">
        <f t="shared" si="88"/>
        <v>-0.0648680816600984</v>
      </c>
      <c r="K119" s="35">
        <f>K120+K121+K122+K123</f>
        <v>21559.7581670564</v>
      </c>
      <c r="L119" s="36">
        <f t="shared" si="89"/>
        <v>0.0837859691098259</v>
      </c>
      <c r="M119" s="35">
        <f>M120+M121+M122+M123</f>
        <v>20987.141287171</v>
      </c>
      <c r="N119" s="36">
        <f t="shared" si="90"/>
        <v>0.145789731031354</v>
      </c>
      <c r="O119" s="35">
        <f>O120+O121+O122+O123</f>
        <v>20527.3525653711</v>
      </c>
      <c r="P119" s="36">
        <f t="shared" si="91"/>
        <v>0.0621052870209335</v>
      </c>
      <c r="Q119" s="127"/>
      <c r="R119" s="127"/>
      <c r="S119" s="131">
        <f t="shared" si="92"/>
        <v>128149.604436862</v>
      </c>
      <c r="T119" s="132">
        <f t="shared" si="93"/>
        <v>-0.158745419983939</v>
      </c>
      <c r="U119" s="35"/>
      <c r="V119" s="35">
        <f>V120+V121+V122+V123</f>
        <v>17363.9572722571</v>
      </c>
      <c r="W119" s="36">
        <f t="shared" si="94"/>
        <v>0.222962785944934</v>
      </c>
      <c r="X119" s="35">
        <f>X120+X121+X122+X123</f>
        <v>17817.3017637472</v>
      </c>
      <c r="Y119" s="36">
        <f t="shared" si="95"/>
        <v>0.130466605218827</v>
      </c>
      <c r="Z119" s="35">
        <f>Z120+Z121+Z122+Z123</f>
        <v>18477.8808268384</v>
      </c>
      <c r="AA119" s="36">
        <f t="shared" si="96"/>
        <v>0.0952031410191863</v>
      </c>
      <c r="AB119" s="35">
        <f>AB120+AB121+AB122+AB123</f>
        <v>20521.3424910293</v>
      </c>
      <c r="AC119" s="36">
        <f t="shared" si="97"/>
        <v>0.0101720500459048</v>
      </c>
      <c r="AD119" s="35">
        <f>AD120+AD121+AD122+AD123</f>
        <v>19893.0035833225</v>
      </c>
      <c r="AE119" s="36">
        <f t="shared" si="98"/>
        <v>-0.00232333374220517</v>
      </c>
      <c r="AF119" s="35">
        <f>AF120+AF121+AF122+AF123</f>
        <v>18316.7475835902</v>
      </c>
      <c r="AG119" s="36">
        <f t="shared" si="99"/>
        <v>-0.00665944604110136</v>
      </c>
      <c r="AH119" s="35">
        <f>AH120+AH121+AH122+AH123</f>
        <v>19327.0411288015</v>
      </c>
      <c r="AI119" s="36">
        <f t="shared" si="100"/>
        <v>-0.0311628042673839</v>
      </c>
      <c r="AJ119" s="35">
        <f>AJ120+AJ121+AJ122+AJ123</f>
        <v>20614.2638419072</v>
      </c>
      <c r="AK119" s="36">
        <f t="shared" si="101"/>
        <v>-0.0128038379972901</v>
      </c>
      <c r="AL119" s="35">
        <f>AL120+AL121+AL122+AL123</f>
        <v>19156.3166314263</v>
      </c>
      <c r="AM119" s="36">
        <f t="shared" si="102"/>
        <v>-0.0246750518460194</v>
      </c>
      <c r="AN119" s="35">
        <f>AN120+AN121+AN122+AN123</f>
        <v>20495.4296989046</v>
      </c>
      <c r="AO119" s="36">
        <f t="shared" si="103"/>
        <v>-0.0285514986681203</v>
      </c>
      <c r="AP119" s="35">
        <f>AP120+AP121+AP122+AP123</f>
        <v>18948.5058402456</v>
      </c>
      <c r="AQ119" s="36">
        <f t="shared" si="104"/>
        <v>-0.0655745181324547</v>
      </c>
      <c r="AR119" s="35">
        <f>AR120+AR121+AR122+AR123</f>
        <v>15484.0341472846</v>
      </c>
      <c r="AS119" s="36">
        <f t="shared" si="105"/>
        <v>0.0489276803982519</v>
      </c>
      <c r="AT119" s="35">
        <f t="shared" si="106"/>
        <v>226415.824809354</v>
      </c>
      <c r="AU119" s="36">
        <f t="shared" si="107"/>
        <v>0.0192776356352624</v>
      </c>
      <c r="AV119" s="37"/>
      <c r="AW119" s="38">
        <f>AW120+AW121+AW122+AW123</f>
        <v>14198.2711753904</v>
      </c>
      <c r="AX119" s="37"/>
      <c r="AY119" s="38">
        <f>AY120+AY121+AY122+AY123</f>
        <v>15761.0155678135</v>
      </c>
      <c r="AZ119" s="37"/>
      <c r="BA119" s="38">
        <f>BA120+BA121+BA122+BA123</f>
        <v>16871.6470349446</v>
      </c>
      <c r="BB119" s="37"/>
      <c r="BC119" s="38">
        <f>BC120+BC121+BC122+BC123</f>
        <v>20314.700342478</v>
      </c>
      <c r="BD119" s="37"/>
      <c r="BE119" s="38">
        <f>BE120+BE121+BE122+BE123</f>
        <v>19939.3292998819</v>
      </c>
      <c r="BF119" s="37"/>
      <c r="BG119" s="38">
        <f>BG120+BG121+BG122+BG123</f>
        <v>18439.5447367873</v>
      </c>
      <c r="BH119" s="37"/>
      <c r="BI119" s="38">
        <f>BI120+BI121+BI122+BI123</f>
        <v>19948.6985160461</v>
      </c>
      <c r="BJ119" s="37"/>
      <c r="BK119" s="38">
        <f>BK120+BK121+BK122+BK123</f>
        <v>20881.6288346253</v>
      </c>
      <c r="BL119" s="37"/>
      <c r="BM119" s="38">
        <f>BM120+BM121+BM122+BM123</f>
        <v>19640.9582956777</v>
      </c>
      <c r="BN119" s="37"/>
      <c r="BO119" s="38">
        <f>BO120+BO121+BO122+BO123</f>
        <v>21097.8036105927</v>
      </c>
      <c r="BP119" s="37"/>
      <c r="BQ119" s="38">
        <f>BQ120+BQ121+BQ122+BQ123</f>
        <v>20278.2417730893</v>
      </c>
      <c r="BR119" s="37"/>
      <c r="BS119" s="38">
        <f>BS120+BS121+BS122+BS123</f>
        <v>14761.774750196</v>
      </c>
      <c r="BT119" s="37"/>
      <c r="BU119" s="38">
        <f t="shared" si="108"/>
        <v>222133.613937523</v>
      </c>
      <c r="BV119" s="37"/>
      <c r="BW119" s="39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</row>
    <row r="120" ht="28.8" customHeight="1" spans="1:88">
      <c r="A120" s="45"/>
      <c r="B120" s="34" t="s">
        <v>301</v>
      </c>
      <c r="C120" s="35">
        <f>班线包车!C19</f>
        <v>12032.7491</v>
      </c>
      <c r="D120" s="36">
        <f t="shared" si="85"/>
        <v>-0.234380455005864</v>
      </c>
      <c r="E120" s="35">
        <f>班线包车!E19</f>
        <v>14351.0886</v>
      </c>
      <c r="F120" s="36">
        <f t="shared" si="86"/>
        <v>-0.104303956130376</v>
      </c>
      <c r="G120" s="35">
        <f>班线包车!G19</f>
        <v>14986.0133</v>
      </c>
      <c r="H120" s="36">
        <f t="shared" si="87"/>
        <v>-0.0984382547192663</v>
      </c>
      <c r="I120" s="35">
        <f>班线包车!I19</f>
        <v>17342.3056</v>
      </c>
      <c r="J120" s="36">
        <f t="shared" si="88"/>
        <v>-0.0675679981340935</v>
      </c>
      <c r="K120" s="35">
        <f>班线包车!K19</f>
        <v>19384.3163</v>
      </c>
      <c r="L120" s="36">
        <f t="shared" si="89"/>
        <v>0.0848847032185804</v>
      </c>
      <c r="M120" s="35">
        <f>班线包车!M19</f>
        <v>18766.1584</v>
      </c>
      <c r="N120" s="36">
        <f t="shared" si="90"/>
        <v>0.141169836004102</v>
      </c>
      <c r="O120" s="35">
        <f>班线包车!O19</f>
        <v>18373.3325</v>
      </c>
      <c r="P120" s="36">
        <f t="shared" si="91"/>
        <v>0.0563046893537316</v>
      </c>
      <c r="Q120" s="127"/>
      <c r="R120" s="127"/>
      <c r="S120" s="131">
        <f t="shared" si="92"/>
        <v>115235.9638</v>
      </c>
      <c r="T120" s="132">
        <f t="shared" si="93"/>
        <v>-0.161168962881699</v>
      </c>
      <c r="U120" s="35"/>
      <c r="V120" s="35">
        <f>班线包车!V19</f>
        <v>15716.3557</v>
      </c>
      <c r="W120" s="36">
        <f t="shared" si="94"/>
        <v>0.204049567720287</v>
      </c>
      <c r="X120" s="35">
        <f>班线包车!X19</f>
        <v>16022.2753</v>
      </c>
      <c r="Y120" s="36">
        <f t="shared" si="95"/>
        <v>0.0856026479088883</v>
      </c>
      <c r="Z120" s="35">
        <f>班线包车!Z19</f>
        <v>16622.2817</v>
      </c>
      <c r="AA120" s="36">
        <f t="shared" si="96"/>
        <v>0.0497034495921773</v>
      </c>
      <c r="AB120" s="35">
        <f>班线包车!AB19</f>
        <v>18599.003</v>
      </c>
      <c r="AC120" s="36">
        <f t="shared" si="97"/>
        <v>-0.0348345532640676</v>
      </c>
      <c r="AD120" s="35">
        <f>班线包车!AD19</f>
        <v>17867.628</v>
      </c>
      <c r="AE120" s="36">
        <f t="shared" si="98"/>
        <v>-0.0511938617188323</v>
      </c>
      <c r="AF120" s="35">
        <f>班线包车!AF19</f>
        <v>16444.6674</v>
      </c>
      <c r="AG120" s="36">
        <f t="shared" si="99"/>
        <v>-0.0570810741644616</v>
      </c>
      <c r="AH120" s="35">
        <f>班线包车!AH19</f>
        <v>17393.9704</v>
      </c>
      <c r="AI120" s="36">
        <f t="shared" si="100"/>
        <v>-0.0793936033571653</v>
      </c>
      <c r="AJ120" s="35">
        <f>班线包车!AJ19</f>
        <v>18710.6664</v>
      </c>
      <c r="AK120" s="36">
        <f t="shared" si="101"/>
        <v>-0.0599832607620372</v>
      </c>
      <c r="AL120" s="35">
        <f>班线包车!AL19</f>
        <v>17273.6802</v>
      </c>
      <c r="AM120" s="36">
        <f t="shared" si="102"/>
        <v>-0.0736724800899176</v>
      </c>
      <c r="AN120" s="35">
        <f>班线包车!AN19</f>
        <v>18570.5124</v>
      </c>
      <c r="AO120" s="36">
        <f t="shared" si="103"/>
        <v>-0.0754711137526032</v>
      </c>
      <c r="AP120" s="35">
        <f>班线包车!AP19</f>
        <v>17276.7181</v>
      </c>
      <c r="AQ120" s="36">
        <f t="shared" si="104"/>
        <v>-0.0874487270473198</v>
      </c>
      <c r="AR120" s="35">
        <f>班线包车!AR19</f>
        <v>13873.2427</v>
      </c>
      <c r="AS120" s="36">
        <f t="shared" si="105"/>
        <v>0.0351159459548955</v>
      </c>
      <c r="AT120" s="35">
        <f t="shared" si="106"/>
        <v>204371.0013</v>
      </c>
      <c r="AU120" s="36">
        <f t="shared" si="107"/>
        <v>-0.0224133634566943</v>
      </c>
      <c r="AV120" s="37"/>
      <c r="AW120" s="35">
        <v>13052.9142</v>
      </c>
      <c r="AX120" s="36"/>
      <c r="AY120" s="35">
        <v>14758.8764</v>
      </c>
      <c r="AZ120" s="36"/>
      <c r="BA120" s="35">
        <v>15835.2168</v>
      </c>
      <c r="BB120" s="36"/>
      <c r="BC120" s="35">
        <v>19270.2744</v>
      </c>
      <c r="BD120" s="36"/>
      <c r="BE120" s="35">
        <v>18831.6952</v>
      </c>
      <c r="BF120" s="36"/>
      <c r="BG120" s="35">
        <v>17440.1711</v>
      </c>
      <c r="BH120" s="36"/>
      <c r="BI120" s="35">
        <v>18894.036</v>
      </c>
      <c r="BJ120" s="36"/>
      <c r="BK120" s="35">
        <v>19904.6098</v>
      </c>
      <c r="BL120" s="36"/>
      <c r="BM120" s="35">
        <v>18647.4868</v>
      </c>
      <c r="BN120" s="36"/>
      <c r="BO120" s="35">
        <v>20086.4599</v>
      </c>
      <c r="BP120" s="36"/>
      <c r="BQ120" s="35">
        <v>18932.3259</v>
      </c>
      <c r="BR120" s="36"/>
      <c r="BS120" s="35">
        <v>13402.5978</v>
      </c>
      <c r="BT120" s="36"/>
      <c r="BU120" s="35">
        <f t="shared" si="108"/>
        <v>209056.6643</v>
      </c>
      <c r="BV120" s="36"/>
      <c r="BW120" s="40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7"/>
    </row>
    <row r="121" ht="28.8" customHeight="1" spans="1:88">
      <c r="A121" s="45"/>
      <c r="B121" s="34" t="s">
        <v>302</v>
      </c>
      <c r="C121" s="35">
        <f>公交!C22-公交!C24</f>
        <v>809.65</v>
      </c>
      <c r="D121" s="36">
        <f t="shared" si="85"/>
        <v>0.00734059097978301</v>
      </c>
      <c r="E121" s="35">
        <f>公交!E22-公交!E24</f>
        <v>756.56</v>
      </c>
      <c r="F121" s="36">
        <f t="shared" si="86"/>
        <v>-0.098302822273074</v>
      </c>
      <c r="G121" s="35">
        <f>公交!G22-公交!G24</f>
        <v>824.7</v>
      </c>
      <c r="H121" s="36">
        <f t="shared" si="87"/>
        <v>-0.0514038578773618</v>
      </c>
      <c r="I121" s="35">
        <f>公交!I22-公交!I24</f>
        <v>807.02</v>
      </c>
      <c r="J121" s="36">
        <f t="shared" si="88"/>
        <v>-0.0300007211711815</v>
      </c>
      <c r="K121" s="35">
        <f>公交!K22-公交!K24</f>
        <v>1070.19</v>
      </c>
      <c r="L121" s="36">
        <f t="shared" si="89"/>
        <v>0.255619954946499</v>
      </c>
      <c r="M121" s="35">
        <f>公交!M22-公交!M24</f>
        <v>1107</v>
      </c>
      <c r="N121" s="36">
        <f t="shared" si="90"/>
        <v>0.285803888772737</v>
      </c>
      <c r="O121" s="35">
        <f>公交!O22-公交!O24</f>
        <v>982.27</v>
      </c>
      <c r="P121" s="36">
        <f t="shared" si="91"/>
        <v>0.238191879593097</v>
      </c>
      <c r="Q121" s="127"/>
      <c r="R121" s="127"/>
      <c r="S121" s="131">
        <f t="shared" si="92"/>
        <v>6357.39</v>
      </c>
      <c r="T121" s="132">
        <f t="shared" si="93"/>
        <v>-0.0508524932815764</v>
      </c>
      <c r="U121" s="35"/>
      <c r="V121" s="35">
        <f>公交!V22-公交!V24</f>
        <v>803.75</v>
      </c>
      <c r="W121" s="36">
        <f t="shared" si="94"/>
        <v>1.91594108257147</v>
      </c>
      <c r="X121" s="35">
        <f>公交!X22-公交!X24</f>
        <v>839.04</v>
      </c>
      <c r="Y121" s="36">
        <f t="shared" si="95"/>
        <v>1.88310081781321</v>
      </c>
      <c r="Z121" s="35">
        <f>公交!Z22-公交!Z24</f>
        <v>869.39</v>
      </c>
      <c r="AA121" s="36">
        <f t="shared" si="96"/>
        <v>2.0989876666429</v>
      </c>
      <c r="AB121" s="35">
        <f>公交!AB22-公交!AB24</f>
        <v>831.98</v>
      </c>
      <c r="AC121" s="36">
        <f t="shared" si="97"/>
        <v>1.95867709815078</v>
      </c>
      <c r="AD121" s="35">
        <f>公交!AD22-公交!AD24</f>
        <v>852.32</v>
      </c>
      <c r="AE121" s="36">
        <f t="shared" si="98"/>
        <v>1.71872408293461</v>
      </c>
      <c r="AF121" s="35">
        <f>公交!AF22-公交!AF24</f>
        <v>860.94</v>
      </c>
      <c r="AG121" s="36">
        <f t="shared" si="99"/>
        <v>1.7721286666452</v>
      </c>
      <c r="AH121" s="35">
        <f>公交!AH22-公交!AH24</f>
        <v>793.31</v>
      </c>
      <c r="AI121" s="36">
        <f t="shared" si="100"/>
        <v>1.9862977602108</v>
      </c>
      <c r="AJ121" s="35">
        <f>公交!AJ22-公交!AJ24</f>
        <v>847.27</v>
      </c>
      <c r="AK121" s="36">
        <f t="shared" si="101"/>
        <v>1.99918584070796</v>
      </c>
      <c r="AL121" s="35">
        <f>公交!AL22-公交!AL24</f>
        <v>935.68</v>
      </c>
      <c r="AM121" s="36">
        <f t="shared" si="102"/>
        <v>2.37024096819508</v>
      </c>
      <c r="AN121" s="35">
        <f>公交!AN22-公交!AN24</f>
        <v>959.04</v>
      </c>
      <c r="AO121" s="36">
        <f t="shared" si="103"/>
        <v>2.1768914800583</v>
      </c>
      <c r="AP121" s="35">
        <f>公交!AP22-公交!AP24</f>
        <v>887.24</v>
      </c>
      <c r="AQ121" s="36">
        <f t="shared" si="104"/>
        <v>0.318394579253161</v>
      </c>
      <c r="AR121" s="35">
        <f>公交!AR22-公交!AR24</f>
        <v>834.43</v>
      </c>
      <c r="AS121" s="36">
        <f t="shared" si="105"/>
        <v>0.177658598546327</v>
      </c>
      <c r="AT121" s="35">
        <f t="shared" si="106"/>
        <v>10314.39</v>
      </c>
      <c r="AU121" s="36">
        <f t="shared" si="107"/>
        <v>1.42028087712506</v>
      </c>
      <c r="AV121" s="37"/>
      <c r="AW121" s="35">
        <v>275.64</v>
      </c>
      <c r="AX121" s="36"/>
      <c r="AY121" s="35">
        <v>291.02</v>
      </c>
      <c r="AZ121" s="36"/>
      <c r="BA121" s="35">
        <v>280.54</v>
      </c>
      <c r="BB121" s="36"/>
      <c r="BC121" s="35">
        <v>281.2</v>
      </c>
      <c r="BD121" s="36"/>
      <c r="BE121" s="35">
        <v>313.5</v>
      </c>
      <c r="BF121" s="36"/>
      <c r="BG121" s="35">
        <v>310.57</v>
      </c>
      <c r="BH121" s="36"/>
      <c r="BI121" s="35">
        <v>265.65</v>
      </c>
      <c r="BJ121" s="36"/>
      <c r="BK121" s="35">
        <v>282.5</v>
      </c>
      <c r="BL121" s="36"/>
      <c r="BM121" s="35">
        <v>277.63</v>
      </c>
      <c r="BN121" s="36"/>
      <c r="BO121" s="35">
        <v>301.88</v>
      </c>
      <c r="BP121" s="36"/>
      <c r="BQ121" s="35">
        <v>672.97</v>
      </c>
      <c r="BR121" s="36"/>
      <c r="BS121" s="35">
        <v>708.55</v>
      </c>
      <c r="BT121" s="36"/>
      <c r="BU121" s="35">
        <f t="shared" si="108"/>
        <v>4261.65</v>
      </c>
      <c r="BV121" s="36"/>
      <c r="BW121" s="40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7"/>
    </row>
    <row r="122" ht="28.8" customHeight="1" spans="1:88">
      <c r="A122" s="45"/>
      <c r="B122" s="34" t="s">
        <v>303</v>
      </c>
      <c r="C122" s="35">
        <f>出租!C22-出租!C24</f>
        <v>280.25</v>
      </c>
      <c r="D122" s="36">
        <f t="shared" si="85"/>
        <v>-0.321806258016117</v>
      </c>
      <c r="E122" s="35">
        <f>出租!E22-出租!E24</f>
        <v>299.88</v>
      </c>
      <c r="F122" s="36">
        <f t="shared" si="86"/>
        <v>-0.475853389963819</v>
      </c>
      <c r="G122" s="35">
        <f>出租!G22-出租!G24</f>
        <v>523.25</v>
      </c>
      <c r="H122" s="36">
        <f t="shared" si="87"/>
        <v>-0.0807596359931139</v>
      </c>
      <c r="I122" s="35">
        <f>出租!I22-出租!I24</f>
        <v>539.55</v>
      </c>
      <c r="J122" s="36">
        <f t="shared" si="88"/>
        <v>-0.0751945425251112</v>
      </c>
      <c r="K122" s="35">
        <f>出租!K22-出租!K24</f>
        <v>559.71</v>
      </c>
      <c r="L122" s="36">
        <f t="shared" si="89"/>
        <v>-0.0768279206320414</v>
      </c>
      <c r="M122" s="35">
        <f>出租!M22-出租!M24</f>
        <v>545.89</v>
      </c>
      <c r="N122" s="36">
        <f t="shared" si="90"/>
        <v>0.0163278224605294</v>
      </c>
      <c r="O122" s="35">
        <f>出租!O22-出租!O24</f>
        <v>543.78</v>
      </c>
      <c r="P122" s="36">
        <f t="shared" si="91"/>
        <v>-0.10375290491652</v>
      </c>
      <c r="Q122" s="127"/>
      <c r="R122" s="127"/>
      <c r="S122" s="131">
        <f t="shared" si="92"/>
        <v>3292.31</v>
      </c>
      <c r="T122" s="132">
        <f t="shared" si="93"/>
        <v>-0.259264509016458</v>
      </c>
      <c r="U122" s="35"/>
      <c r="V122" s="35">
        <f>出租!V22-出租!V24</f>
        <v>413.23</v>
      </c>
      <c r="W122" s="36">
        <f t="shared" si="94"/>
        <v>-0.0463849721920937</v>
      </c>
      <c r="X122" s="35">
        <f>出租!X22-出租!X24</f>
        <v>572.13</v>
      </c>
      <c r="Y122" s="36">
        <f t="shared" si="95"/>
        <v>0.256075874333136</v>
      </c>
      <c r="Z122" s="35">
        <f>出租!Z22-出租!Z24</f>
        <v>569.22</v>
      </c>
      <c r="AA122" s="36">
        <f t="shared" si="96"/>
        <v>0.521165152324959</v>
      </c>
      <c r="AB122" s="35">
        <f>出租!AB22-出租!AB24</f>
        <v>583.42</v>
      </c>
      <c r="AC122" s="36">
        <f t="shared" si="97"/>
        <v>0.630074599759716</v>
      </c>
      <c r="AD122" s="35">
        <f>出租!AD22-出租!AD24</f>
        <v>606.29</v>
      </c>
      <c r="AE122" s="36">
        <f t="shared" si="98"/>
        <v>0.650397430313589</v>
      </c>
      <c r="AF122" s="35">
        <f>出租!AF22-出租!AF24</f>
        <v>537.12</v>
      </c>
      <c r="AG122" s="36">
        <f t="shared" si="99"/>
        <v>0.612730821198019</v>
      </c>
      <c r="AH122" s="35">
        <f>出租!AH22-出租!AH24</f>
        <v>606.73</v>
      </c>
      <c r="AI122" s="36">
        <f t="shared" si="100"/>
        <v>0.710785281263217</v>
      </c>
      <c r="AJ122" s="35">
        <f>出租!AJ22-出租!AJ24</f>
        <v>556.51</v>
      </c>
      <c r="AK122" s="36">
        <f t="shared" si="101"/>
        <v>0.658155056313689</v>
      </c>
      <c r="AL122" s="35">
        <f>出租!AL22-出租!AL24</f>
        <v>531</v>
      </c>
      <c r="AM122" s="36">
        <f t="shared" si="102"/>
        <v>0.638838307459646</v>
      </c>
      <c r="AN122" s="35">
        <f>出租!AN22-出租!AN24</f>
        <v>572.89</v>
      </c>
      <c r="AO122" s="36">
        <f t="shared" si="103"/>
        <v>0.765617776681973</v>
      </c>
      <c r="AP122" s="35">
        <f>出租!AP22-出租!AP24</f>
        <v>467.55</v>
      </c>
      <c r="AQ122" s="36">
        <f t="shared" si="104"/>
        <v>0.546182082740831</v>
      </c>
      <c r="AR122" s="35">
        <f>出租!AR22-出租!AR24</f>
        <v>467.82</v>
      </c>
      <c r="AS122" s="36">
        <f t="shared" si="105"/>
        <v>0.47591254692873</v>
      </c>
      <c r="AT122" s="35">
        <f t="shared" si="106"/>
        <v>6483.91</v>
      </c>
      <c r="AU122" s="36">
        <f t="shared" si="107"/>
        <v>0.515126943882976</v>
      </c>
      <c r="AV122" s="37"/>
      <c r="AW122" s="35">
        <v>433.33</v>
      </c>
      <c r="AX122" s="36"/>
      <c r="AY122" s="35">
        <v>455.49</v>
      </c>
      <c r="AZ122" s="36"/>
      <c r="BA122" s="35">
        <v>374.2</v>
      </c>
      <c r="BB122" s="36"/>
      <c r="BC122" s="35">
        <v>357.91</v>
      </c>
      <c r="BD122" s="36"/>
      <c r="BE122" s="35">
        <v>367.36</v>
      </c>
      <c r="BF122" s="36"/>
      <c r="BG122" s="35">
        <v>333.05</v>
      </c>
      <c r="BH122" s="36"/>
      <c r="BI122" s="35">
        <v>354.65</v>
      </c>
      <c r="BJ122" s="36"/>
      <c r="BK122" s="35">
        <v>335.62</v>
      </c>
      <c r="BL122" s="36"/>
      <c r="BM122" s="35">
        <v>324.01</v>
      </c>
      <c r="BN122" s="36"/>
      <c r="BO122" s="35">
        <v>324.47</v>
      </c>
      <c r="BP122" s="36"/>
      <c r="BQ122" s="35">
        <v>302.39</v>
      </c>
      <c r="BR122" s="36"/>
      <c r="BS122" s="35">
        <v>316.97</v>
      </c>
      <c r="BT122" s="36"/>
      <c r="BU122" s="35">
        <f t="shared" si="108"/>
        <v>4279.45</v>
      </c>
      <c r="BV122" s="36"/>
      <c r="BW122" s="40"/>
      <c r="BX122" s="49"/>
      <c r="BY122" s="49"/>
      <c r="BZ122" s="49"/>
      <c r="CA122" s="49"/>
      <c r="CB122" s="49"/>
      <c r="CC122" s="49"/>
      <c r="CD122" s="50"/>
      <c r="CE122" s="49"/>
      <c r="CF122" s="50"/>
      <c r="CG122" s="50"/>
      <c r="CH122" s="50"/>
      <c r="CI122" s="50"/>
      <c r="CJ122" s="47"/>
    </row>
    <row r="123" ht="28.8" customHeight="1" spans="1:88">
      <c r="A123" s="29"/>
      <c r="B123" s="34" t="s">
        <v>304</v>
      </c>
      <c r="C123" s="35">
        <f>网约车!C22-网约车!C24</f>
        <v>288.672402379856</v>
      </c>
      <c r="D123" s="36">
        <f t="shared" si="85"/>
        <v>-0.329637851474058</v>
      </c>
      <c r="E123" s="35">
        <f>网约车!E22-网约车!E24</f>
        <v>258.151254557704</v>
      </c>
      <c r="F123" s="36">
        <f t="shared" si="86"/>
        <v>-0.327479725005474</v>
      </c>
      <c r="G123" s="35">
        <f>网约车!G22-网约车!G24</f>
        <v>474.2253897792</v>
      </c>
      <c r="H123" s="36">
        <f t="shared" si="87"/>
        <v>0.137260804315971</v>
      </c>
      <c r="I123" s="35">
        <f>网约车!I22-网约车!I24</f>
        <v>501.28677054635</v>
      </c>
      <c r="J123" s="36">
        <f t="shared" si="88"/>
        <v>-0.0111506808661874</v>
      </c>
      <c r="K123" s="35">
        <f>网约车!K22-网约车!K24</f>
        <v>545.54186705644</v>
      </c>
      <c r="L123" s="36">
        <f t="shared" si="89"/>
        <v>-0.0374470802225856</v>
      </c>
      <c r="M123" s="35">
        <f>网约车!M22-网约车!M24</f>
        <v>568.09288717099</v>
      </c>
      <c r="N123" s="36">
        <f t="shared" si="90"/>
        <v>0.198457168781938</v>
      </c>
      <c r="O123" s="35">
        <f>网约车!O22-网约车!O24</f>
        <v>627.97006537114</v>
      </c>
      <c r="P123" s="36">
        <f t="shared" si="91"/>
        <v>0.178112314055641</v>
      </c>
      <c r="Q123" s="127"/>
      <c r="R123" s="127"/>
      <c r="S123" s="131">
        <f t="shared" si="92"/>
        <v>3263.94063686168</v>
      </c>
      <c r="T123" s="132">
        <f t="shared" si="93"/>
        <v>-0.143781248251861</v>
      </c>
      <c r="U123" s="35"/>
      <c r="V123" s="35">
        <f>网约车!V22-网约车!V24</f>
        <v>430.621572257051</v>
      </c>
      <c r="W123" s="36">
        <f t="shared" si="94"/>
        <v>-0.0132116755504761</v>
      </c>
      <c r="X123" s="35">
        <f>网约车!X22-网约车!X24</f>
        <v>383.856463747216</v>
      </c>
      <c r="Y123" s="36">
        <f t="shared" si="95"/>
        <v>0.501614495053444</v>
      </c>
      <c r="Z123" s="35">
        <f>网约车!Z22-网约车!Z24</f>
        <v>416.989126838353</v>
      </c>
      <c r="AA123" s="36">
        <f t="shared" si="96"/>
        <v>0.0924804688778256</v>
      </c>
      <c r="AB123" s="35">
        <f>网约车!AB22-网约车!AB24</f>
        <v>506.939491029285</v>
      </c>
      <c r="AC123" s="36">
        <f t="shared" si="97"/>
        <v>0.250726748940439</v>
      </c>
      <c r="AD123" s="35">
        <f>网约车!AD22-网约车!AD24</f>
        <v>566.765583322519</v>
      </c>
      <c r="AE123" s="36">
        <f t="shared" si="98"/>
        <v>0.328022444378391</v>
      </c>
      <c r="AF123" s="35">
        <f>网约车!AF22-网约车!AF24</f>
        <v>474.020183590187</v>
      </c>
      <c r="AG123" s="36">
        <f t="shared" si="99"/>
        <v>0.332439459708486</v>
      </c>
      <c r="AH123" s="35">
        <f>网约车!AH22-网约车!AH24</f>
        <v>533.030728801534</v>
      </c>
      <c r="AI123" s="36">
        <f t="shared" si="100"/>
        <v>0.227156370797251</v>
      </c>
      <c r="AJ123" s="35">
        <f>网约车!AJ22-网约车!AJ24</f>
        <v>499.817441907214</v>
      </c>
      <c r="AK123" s="36">
        <f t="shared" si="101"/>
        <v>0.392640808936795</v>
      </c>
      <c r="AL123" s="35">
        <f>网约车!AL22-网约车!AL24</f>
        <v>415.956431426305</v>
      </c>
      <c r="AM123" s="36">
        <f t="shared" si="102"/>
        <v>0.0615696696533445</v>
      </c>
      <c r="AN123" s="35">
        <f>网约车!AN22-网约车!AN24</f>
        <v>392.987298904636</v>
      </c>
      <c r="AO123" s="36">
        <f t="shared" si="103"/>
        <v>0.0207629062292813</v>
      </c>
      <c r="AP123" s="35">
        <f>网约车!AP22-网约车!AP24</f>
        <v>316.997740245592</v>
      </c>
      <c r="AQ123" s="36">
        <f t="shared" si="104"/>
        <v>-0.144534567478931</v>
      </c>
      <c r="AR123" s="35">
        <f>网约车!AR22-网约车!AR24</f>
        <v>308.541447284612</v>
      </c>
      <c r="AS123" s="36">
        <f t="shared" si="105"/>
        <v>-0.075273429480997</v>
      </c>
      <c r="AT123" s="35">
        <f t="shared" si="106"/>
        <v>5246.52350935451</v>
      </c>
      <c r="AU123" s="36">
        <f t="shared" si="107"/>
        <v>0.156679327716814</v>
      </c>
      <c r="AV123" s="37"/>
      <c r="AW123" s="35">
        <v>436.386975390362</v>
      </c>
      <c r="AX123" s="36"/>
      <c r="AY123" s="35">
        <v>255.62916781351</v>
      </c>
      <c r="AZ123" s="36"/>
      <c r="BA123" s="35">
        <v>381.69023494459</v>
      </c>
      <c r="BB123" s="36"/>
      <c r="BC123" s="35">
        <v>405.315942478037</v>
      </c>
      <c r="BD123" s="36"/>
      <c r="BE123" s="35">
        <v>426.774099881878</v>
      </c>
      <c r="BF123" s="36"/>
      <c r="BG123" s="35">
        <v>355.753636787291</v>
      </c>
      <c r="BH123" s="36"/>
      <c r="BI123" s="35">
        <v>434.362516046132</v>
      </c>
      <c r="BJ123" s="36"/>
      <c r="BK123" s="35">
        <v>358.899034625301</v>
      </c>
      <c r="BL123" s="36"/>
      <c r="BM123" s="35">
        <v>391.831495677656</v>
      </c>
      <c r="BN123" s="36"/>
      <c r="BO123" s="35">
        <v>384.993710592736</v>
      </c>
      <c r="BP123" s="36"/>
      <c r="BQ123" s="35">
        <v>370.555873089337</v>
      </c>
      <c r="BR123" s="36"/>
      <c r="BS123" s="35">
        <v>333.656950196038</v>
      </c>
      <c r="BT123" s="36"/>
      <c r="BU123" s="35">
        <f t="shared" si="108"/>
        <v>4535.84963752287</v>
      </c>
      <c r="BV123" s="36"/>
      <c r="BW123" s="40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7"/>
    </row>
    <row r="124" s="15" customFormat="1" ht="28.8" customHeight="1" spans="1:88">
      <c r="A124" s="48" t="s">
        <v>97</v>
      </c>
      <c r="B124" s="34" t="s">
        <v>300</v>
      </c>
      <c r="C124" s="35">
        <f>C125+C126+C127+C128</f>
        <v>14517.2906370946</v>
      </c>
      <c r="D124" s="36">
        <f t="shared" si="85"/>
        <v>-0.168582529022901</v>
      </c>
      <c r="E124" s="35">
        <f>E125+E126+E127+E128</f>
        <v>21087.1401810592</v>
      </c>
      <c r="F124" s="36">
        <f t="shared" si="86"/>
        <v>0.167680282798069</v>
      </c>
      <c r="G124" s="35">
        <f>G125+G126+G127+G128</f>
        <v>20325.0427702243</v>
      </c>
      <c r="H124" s="36">
        <f t="shared" si="87"/>
        <v>0.104678111315648</v>
      </c>
      <c r="I124" s="35">
        <f>I125+I126+I127+I128</f>
        <v>18718.6762106233</v>
      </c>
      <c r="J124" s="36">
        <f t="shared" si="88"/>
        <v>-0.0371488612092944</v>
      </c>
      <c r="K124" s="35">
        <f>K125+K126+K127+K128</f>
        <v>18574.9678564905</v>
      </c>
      <c r="L124" s="36">
        <f t="shared" si="89"/>
        <v>-0.0314180616018729</v>
      </c>
      <c r="M124" s="35">
        <f>M125+M126+M127+M128</f>
        <v>16278.9724119704</v>
      </c>
      <c r="N124" s="36">
        <f t="shared" si="90"/>
        <v>-0.0645890639096635</v>
      </c>
      <c r="O124" s="35">
        <f>O125+O126+O127+O128</f>
        <v>16942.9694898181</v>
      </c>
      <c r="P124" s="36">
        <f t="shared" si="91"/>
        <v>-0.0635163977212225</v>
      </c>
      <c r="Q124" s="127"/>
      <c r="R124" s="127"/>
      <c r="S124" s="131">
        <f t="shared" si="92"/>
        <v>126445.05955728</v>
      </c>
      <c r="T124" s="132">
        <f t="shared" si="93"/>
        <v>-0.134676306069743</v>
      </c>
      <c r="U124" s="35"/>
      <c r="V124" s="35">
        <f>V125+V126+V127+V128</f>
        <v>17460.891963256</v>
      </c>
      <c r="W124" s="36">
        <f t="shared" si="94"/>
        <v>0.303643243627759</v>
      </c>
      <c r="X124" s="35">
        <f>X125+X126+X127+X128</f>
        <v>18059.0016734109</v>
      </c>
      <c r="Y124" s="36">
        <f t="shared" si="95"/>
        <v>0.158528516317314</v>
      </c>
      <c r="Z124" s="35">
        <f>Z125+Z126+Z127+Z128</f>
        <v>18399.063548039</v>
      </c>
      <c r="AA124" s="36">
        <f t="shared" si="96"/>
        <v>0.257468794164811</v>
      </c>
      <c r="AB124" s="35">
        <f>AB125+AB126+AB127+AB128</f>
        <v>19440.8828701527</v>
      </c>
      <c r="AC124" s="36">
        <f t="shared" si="97"/>
        <v>0.254724876850333</v>
      </c>
      <c r="AD124" s="35">
        <f>AD125+AD126+AD127+AD128</f>
        <v>19177.487334949</v>
      </c>
      <c r="AE124" s="36">
        <f t="shared" si="98"/>
        <v>0.299383975004142</v>
      </c>
      <c r="AF124" s="35">
        <f>AF125+AF126+AF127+AF128</f>
        <v>17403.0169884589</v>
      </c>
      <c r="AG124" s="36">
        <f t="shared" si="99"/>
        <v>0.303563656244405</v>
      </c>
      <c r="AH124" s="35">
        <f>AH125+AH126+AH127+AH128</f>
        <v>18092.1154930959</v>
      </c>
      <c r="AI124" s="36">
        <f t="shared" si="100"/>
        <v>0.240715062984637</v>
      </c>
      <c r="AJ124" s="35">
        <f>AJ125+AJ126+AJ127+AJ128</f>
        <v>18092.1180689147</v>
      </c>
      <c r="AK124" s="36">
        <f t="shared" si="101"/>
        <v>0.202231930258181</v>
      </c>
      <c r="AL124" s="35">
        <f>AL125+AL126+AL127+AL128</f>
        <v>16866.6276334791</v>
      </c>
      <c r="AM124" s="36">
        <f t="shared" si="102"/>
        <v>0.308256183108165</v>
      </c>
      <c r="AN124" s="35">
        <f>AN125+AN126+AN127+AN128</f>
        <v>18560.8077434245</v>
      </c>
      <c r="AO124" s="36">
        <f t="shared" si="103"/>
        <v>0.269836732285961</v>
      </c>
      <c r="AP124" s="35">
        <f>AP125+AP126+AP127+AP128</f>
        <v>17122.4408658356</v>
      </c>
      <c r="AQ124" s="36">
        <f t="shared" si="104"/>
        <v>0.184704394015057</v>
      </c>
      <c r="AR124" s="35">
        <f>AR125+AR126+AR127+AR128</f>
        <v>14706.348996784</v>
      </c>
      <c r="AS124" s="36">
        <f t="shared" si="105"/>
        <v>0.141330953168586</v>
      </c>
      <c r="AT124" s="35">
        <f t="shared" si="106"/>
        <v>213380.8031798</v>
      </c>
      <c r="AU124" s="36">
        <f t="shared" si="107"/>
        <v>0.242789021006236</v>
      </c>
      <c r="AV124" s="37"/>
      <c r="AW124" s="38">
        <f>AW125+AW126+AW127+AW128</f>
        <v>13393.9189641071</v>
      </c>
      <c r="AX124" s="37"/>
      <c r="AY124" s="38">
        <f>AY125+AY126+AY127+AY128</f>
        <v>15587.8784329074</v>
      </c>
      <c r="AZ124" s="37"/>
      <c r="BA124" s="38">
        <f>BA125+BA126+BA127+BA128</f>
        <v>14631.8251660943</v>
      </c>
      <c r="BB124" s="37"/>
      <c r="BC124" s="38">
        <f>BC125+BC126+BC127+BC128</f>
        <v>15494.1399735009</v>
      </c>
      <c r="BD124" s="37"/>
      <c r="BE124" s="38">
        <f>BE125+BE126+BE127+BE128</f>
        <v>14758.9070697043</v>
      </c>
      <c r="BF124" s="37"/>
      <c r="BG124" s="38">
        <f>BG125+BG126+BG127+BG128</f>
        <v>13350.3392067537</v>
      </c>
      <c r="BH124" s="37"/>
      <c r="BI124" s="38">
        <f>BI125+BI126+BI127+BI128</f>
        <v>14582.0068062798</v>
      </c>
      <c r="BJ124" s="37"/>
      <c r="BK124" s="38">
        <f>BK125+BK126+BK127+BK128</f>
        <v>15048.7752101455</v>
      </c>
      <c r="BL124" s="37"/>
      <c r="BM124" s="38">
        <f>BM125+BM126+BM127+BM128</f>
        <v>12892.45015713</v>
      </c>
      <c r="BN124" s="37"/>
      <c r="BO124" s="38">
        <f>BO125+BO126+BO127+BO128</f>
        <v>14616.6883281218</v>
      </c>
      <c r="BP124" s="37"/>
      <c r="BQ124" s="38">
        <f>BQ125+BQ126+BQ127+BQ128</f>
        <v>14452.922562232</v>
      </c>
      <c r="BR124" s="37"/>
      <c r="BS124" s="38">
        <f>BS125+BS126+BS127+BS128</f>
        <v>12885.2625576797</v>
      </c>
      <c r="BT124" s="37"/>
      <c r="BU124" s="38">
        <f t="shared" si="108"/>
        <v>171695.114434657</v>
      </c>
      <c r="BV124" s="37"/>
      <c r="BW124" s="39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</row>
    <row r="125" ht="28.8" customHeight="1" spans="1:88">
      <c r="A125" s="45"/>
      <c r="B125" s="34" t="s">
        <v>301</v>
      </c>
      <c r="C125" s="35">
        <f>班线包车!C23</f>
        <v>10120.8517</v>
      </c>
      <c r="D125" s="36">
        <f t="shared" si="85"/>
        <v>-0.33648557238818</v>
      </c>
      <c r="E125" s="35">
        <f>班线包车!E23</f>
        <v>16615.7551</v>
      </c>
      <c r="F125" s="36">
        <f t="shared" si="86"/>
        <v>0.0435188242178062</v>
      </c>
      <c r="G125" s="35">
        <f>班线包车!G23</f>
        <v>15869.8464</v>
      </c>
      <c r="H125" s="36">
        <f t="shared" si="87"/>
        <v>0.122628715685888</v>
      </c>
      <c r="I125" s="35">
        <f>班线包车!I23</f>
        <v>14345.6508</v>
      </c>
      <c r="J125" s="36">
        <f t="shared" si="88"/>
        <v>-0.0648356664435271</v>
      </c>
      <c r="K125" s="35">
        <f>班线包车!K23</f>
        <v>14014.5296</v>
      </c>
      <c r="L125" s="36">
        <f t="shared" si="89"/>
        <v>-0.035094332316707</v>
      </c>
      <c r="M125" s="35">
        <f>班线包车!M23</f>
        <v>11627.7753</v>
      </c>
      <c r="N125" s="36">
        <f t="shared" si="90"/>
        <v>-0.111133791855893</v>
      </c>
      <c r="O125" s="35">
        <f>班线包车!O23</f>
        <v>12669.5596</v>
      </c>
      <c r="P125" s="36">
        <f t="shared" si="91"/>
        <v>-0.0779188830072738</v>
      </c>
      <c r="Q125" s="127"/>
      <c r="R125" s="127"/>
      <c r="S125" s="131">
        <f t="shared" si="92"/>
        <v>95263.9685</v>
      </c>
      <c r="T125" s="132">
        <f t="shared" si="93"/>
        <v>-0.177063599015425</v>
      </c>
      <c r="U125" s="35"/>
      <c r="V125" s="35">
        <f>班线包车!V23</f>
        <v>15253.4011</v>
      </c>
      <c r="W125" s="36">
        <f t="shared" si="94"/>
        <v>0.366097192953212</v>
      </c>
      <c r="X125" s="35">
        <f>班线包车!X23</f>
        <v>15922.813</v>
      </c>
      <c r="Y125" s="36">
        <f t="shared" si="95"/>
        <v>0.169993199419713</v>
      </c>
      <c r="Z125" s="35">
        <f>班线包车!Z23</f>
        <v>14136.3268</v>
      </c>
      <c r="AA125" s="36">
        <f t="shared" si="96"/>
        <v>0.116004554797501</v>
      </c>
      <c r="AB125" s="35">
        <f>班线包车!AB23</f>
        <v>15340.245864</v>
      </c>
      <c r="AC125" s="36">
        <f t="shared" si="97"/>
        <v>0.137657196749319</v>
      </c>
      <c r="AD125" s="35">
        <f>班线包车!AD23</f>
        <v>14524.2484</v>
      </c>
      <c r="AE125" s="36">
        <f t="shared" si="98"/>
        <v>0.13551530336932</v>
      </c>
      <c r="AF125" s="35">
        <f>班线包车!AF23</f>
        <v>13081.581</v>
      </c>
      <c r="AG125" s="36">
        <f t="shared" si="99"/>
        <v>0.149055578608552</v>
      </c>
      <c r="AH125" s="35">
        <f>班线包车!AH23</f>
        <v>13740.179</v>
      </c>
      <c r="AI125" s="36">
        <f t="shared" si="100"/>
        <v>0.0949947163383904</v>
      </c>
      <c r="AJ125" s="35">
        <f>班线包车!AJ23</f>
        <v>13762.2386</v>
      </c>
      <c r="AK125" s="36">
        <f t="shared" si="101"/>
        <v>0.0529207717802074</v>
      </c>
      <c r="AL125" s="35">
        <f>班线包车!AL23</f>
        <v>12615.6868</v>
      </c>
      <c r="AM125" s="36">
        <f t="shared" si="102"/>
        <v>0.151832946973992</v>
      </c>
      <c r="AN125" s="35">
        <f>班线包车!AN23</f>
        <v>14007.3104</v>
      </c>
      <c r="AO125" s="36">
        <f t="shared" si="103"/>
        <v>0.113111329159723</v>
      </c>
      <c r="AP125" s="35">
        <f>班线包车!AP23</f>
        <v>12472.8922</v>
      </c>
      <c r="AQ125" s="36">
        <f t="shared" si="104"/>
        <v>-0.00174460439928115</v>
      </c>
      <c r="AR125" s="35">
        <f>班线包车!AR23</f>
        <v>10530.509172</v>
      </c>
      <c r="AS125" s="36">
        <f t="shared" si="105"/>
        <v>-0.0313438065622217</v>
      </c>
      <c r="AT125" s="35">
        <f t="shared" si="106"/>
        <v>165387.432336</v>
      </c>
      <c r="AU125" s="36">
        <f t="shared" si="107"/>
        <v>0.120338146197508</v>
      </c>
      <c r="AV125" s="37"/>
      <c r="AW125" s="35">
        <v>11165.6778</v>
      </c>
      <c r="AX125" s="36"/>
      <c r="AY125" s="35">
        <v>13609.320984</v>
      </c>
      <c r="AZ125" s="36"/>
      <c r="BA125" s="35">
        <v>12666.9078</v>
      </c>
      <c r="BB125" s="36"/>
      <c r="BC125" s="35">
        <v>13484.067</v>
      </c>
      <c r="BD125" s="36"/>
      <c r="BE125" s="35">
        <v>12790.887412</v>
      </c>
      <c r="BF125" s="36"/>
      <c r="BG125" s="35">
        <v>11384.6373</v>
      </c>
      <c r="BH125" s="36"/>
      <c r="BI125" s="35">
        <v>12548.169224</v>
      </c>
      <c r="BJ125" s="36"/>
      <c r="BK125" s="35">
        <v>13070.53576</v>
      </c>
      <c r="BL125" s="36"/>
      <c r="BM125" s="35">
        <v>10952.70528</v>
      </c>
      <c r="BN125" s="36"/>
      <c r="BO125" s="35">
        <v>12583.925824</v>
      </c>
      <c r="BP125" s="36"/>
      <c r="BQ125" s="35">
        <v>12494.690492</v>
      </c>
      <c r="BR125" s="36"/>
      <c r="BS125" s="35">
        <v>10871.255708</v>
      </c>
      <c r="BT125" s="36"/>
      <c r="BU125" s="35">
        <f t="shared" si="108"/>
        <v>147622.780584</v>
      </c>
      <c r="BV125" s="36"/>
      <c r="BW125" s="40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7"/>
    </row>
    <row r="126" ht="28.8" customHeight="1" spans="1:88">
      <c r="A126" s="45"/>
      <c r="B126" s="34" t="s">
        <v>302</v>
      </c>
      <c r="C126" s="35">
        <f>公交!C26-公交!C28</f>
        <v>3119.4</v>
      </c>
      <c r="D126" s="36">
        <f t="shared" si="85"/>
        <v>2.04242660684677</v>
      </c>
      <c r="E126" s="35">
        <f>公交!E26-公交!E28</f>
        <v>3309.51</v>
      </c>
      <c r="F126" s="36">
        <f t="shared" si="86"/>
        <v>2.23614655754056</v>
      </c>
      <c r="G126" s="35">
        <f>公交!G26-公交!G28</f>
        <v>3202.68</v>
      </c>
      <c r="H126" s="36">
        <f t="shared" si="87"/>
        <v>0.0184406094082405</v>
      </c>
      <c r="I126" s="35">
        <f>公交!I26-公交!I28</f>
        <v>3199.15</v>
      </c>
      <c r="J126" s="36">
        <f t="shared" si="88"/>
        <v>0.0831871770736694</v>
      </c>
      <c r="K126" s="35">
        <f>公交!K26-公交!K28</f>
        <v>3343.28</v>
      </c>
      <c r="L126" s="36">
        <f t="shared" si="89"/>
        <v>-0.0173961857121443</v>
      </c>
      <c r="M126" s="35">
        <f>公交!M26-公交!M28</f>
        <v>3431.54</v>
      </c>
      <c r="N126" s="36">
        <f t="shared" si="90"/>
        <v>0.0898586995531359</v>
      </c>
      <c r="O126" s="35">
        <f>公交!O26-公交!O28</f>
        <v>3001.14</v>
      </c>
      <c r="P126" s="36">
        <f t="shared" si="91"/>
        <v>-0.0348573578643718</v>
      </c>
      <c r="Q126" s="127"/>
      <c r="R126" s="127"/>
      <c r="S126" s="131">
        <f t="shared" si="92"/>
        <v>22606.7</v>
      </c>
      <c r="T126" s="132">
        <f t="shared" si="93"/>
        <v>0.0810804348481029</v>
      </c>
      <c r="U126" s="35"/>
      <c r="V126" s="35">
        <f>公交!V26-公交!V28</f>
        <v>1025.3</v>
      </c>
      <c r="W126" s="36">
        <f t="shared" si="94"/>
        <v>-0.0800111263649976</v>
      </c>
      <c r="X126" s="35">
        <f>公交!X26-公交!X28</f>
        <v>1022.67</v>
      </c>
      <c r="Y126" s="36">
        <f t="shared" si="95"/>
        <v>-0.0234057182146336</v>
      </c>
      <c r="Z126" s="35">
        <f>公交!Z26-公交!Z28</f>
        <v>3144.69</v>
      </c>
      <c r="AA126" s="36">
        <f t="shared" si="96"/>
        <v>2.22621649072051</v>
      </c>
      <c r="AB126" s="35">
        <f>公交!AB26-公交!AB28</f>
        <v>2953.46</v>
      </c>
      <c r="AC126" s="36">
        <f t="shared" si="97"/>
        <v>1.94977278401998</v>
      </c>
      <c r="AD126" s="35">
        <f>公交!AD26-公交!AD28</f>
        <v>3402.47</v>
      </c>
      <c r="AE126" s="36">
        <f t="shared" si="98"/>
        <v>2.4762357220213</v>
      </c>
      <c r="AF126" s="35">
        <f>公交!AF26-公交!AF28</f>
        <v>3148.61</v>
      </c>
      <c r="AG126" s="36">
        <f t="shared" si="99"/>
        <v>2.1597956766955</v>
      </c>
      <c r="AH126" s="35">
        <f>公交!AH26-公交!AH28</f>
        <v>3109.53</v>
      </c>
      <c r="AI126" s="36">
        <f t="shared" si="100"/>
        <v>2.14764801749182</v>
      </c>
      <c r="AJ126" s="35">
        <f>公交!AJ26-公交!AJ28</f>
        <v>3104.48</v>
      </c>
      <c r="AK126" s="36">
        <f t="shared" si="101"/>
        <v>2.28120574122223</v>
      </c>
      <c r="AL126" s="35">
        <f>公交!AL26-公交!AL28</f>
        <v>3017.04</v>
      </c>
      <c r="AM126" s="36">
        <f t="shared" si="102"/>
        <v>2.1957122731943</v>
      </c>
      <c r="AN126" s="35">
        <f>公交!AN26-公交!AN28</f>
        <v>3256.3</v>
      </c>
      <c r="AO126" s="36">
        <f t="shared" si="103"/>
        <v>2.28017970827625</v>
      </c>
      <c r="AP126" s="35">
        <f>公交!AP26-公交!AP28</f>
        <v>3458.13</v>
      </c>
      <c r="AQ126" s="36">
        <f t="shared" si="104"/>
        <v>2.66564199323716</v>
      </c>
      <c r="AR126" s="35">
        <f>公交!AR26-公交!AR28</f>
        <v>2940.53</v>
      </c>
      <c r="AS126" s="36">
        <f t="shared" si="105"/>
        <v>2.00066329237928</v>
      </c>
      <c r="AT126" s="35">
        <f t="shared" si="106"/>
        <v>33583.21</v>
      </c>
      <c r="AU126" s="36">
        <f t="shared" si="107"/>
        <v>1.82044518126221</v>
      </c>
      <c r="AV126" s="37"/>
      <c r="AW126" s="35">
        <v>1114.47</v>
      </c>
      <c r="AX126" s="36"/>
      <c r="AY126" s="35">
        <v>1047.18</v>
      </c>
      <c r="AZ126" s="36"/>
      <c r="BA126" s="35">
        <v>974.73</v>
      </c>
      <c r="BB126" s="36"/>
      <c r="BC126" s="35">
        <v>1001.25</v>
      </c>
      <c r="BD126" s="36"/>
      <c r="BE126" s="35">
        <v>978.779999999999</v>
      </c>
      <c r="BF126" s="36"/>
      <c r="BG126" s="35">
        <v>996.460000000001</v>
      </c>
      <c r="BH126" s="36"/>
      <c r="BI126" s="35">
        <v>987.890000000001</v>
      </c>
      <c r="BJ126" s="36"/>
      <c r="BK126" s="35">
        <v>946.139999999999</v>
      </c>
      <c r="BL126" s="36"/>
      <c r="BM126" s="35">
        <v>944.089999999998</v>
      </c>
      <c r="BN126" s="36"/>
      <c r="BO126" s="35">
        <v>992.719999999999</v>
      </c>
      <c r="BP126" s="36"/>
      <c r="BQ126" s="35">
        <v>943.389999999999</v>
      </c>
      <c r="BR126" s="36"/>
      <c r="BS126" s="35">
        <v>979.959999999999</v>
      </c>
      <c r="BT126" s="36"/>
      <c r="BU126" s="35">
        <f t="shared" si="108"/>
        <v>11907.06</v>
      </c>
      <c r="BV126" s="36"/>
      <c r="BW126" s="40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7"/>
    </row>
    <row r="127" ht="28.8" customHeight="1" spans="1:88">
      <c r="A127" s="45"/>
      <c r="B127" s="34" t="s">
        <v>303</v>
      </c>
      <c r="C127" s="35">
        <f>出租!C26-出租!C28</f>
        <v>518.64</v>
      </c>
      <c r="D127" s="36">
        <f t="shared" si="85"/>
        <v>-0.0932391558997853</v>
      </c>
      <c r="E127" s="35">
        <f>出租!E26-出租!E28</f>
        <v>513.91</v>
      </c>
      <c r="F127" s="36">
        <f t="shared" si="86"/>
        <v>-0.0650912332405533</v>
      </c>
      <c r="G127" s="35">
        <f>出租!G26-出租!G28</f>
        <v>540.95</v>
      </c>
      <c r="H127" s="36">
        <f t="shared" si="87"/>
        <v>-0.0280822163929719</v>
      </c>
      <c r="I127" s="35">
        <f>出租!I26-出租!I28</f>
        <v>511.37</v>
      </c>
      <c r="J127" s="36">
        <f t="shared" si="88"/>
        <v>-0.0402214714714716</v>
      </c>
      <c r="K127" s="35">
        <f>出租!K26-出租!K28</f>
        <v>512.23</v>
      </c>
      <c r="L127" s="36">
        <f t="shared" si="89"/>
        <v>-0.0868363817877136</v>
      </c>
      <c r="M127" s="35">
        <f>出租!M26-出租!M28</f>
        <v>519.8</v>
      </c>
      <c r="N127" s="36">
        <f t="shared" si="90"/>
        <v>-0.0586914398507812</v>
      </c>
      <c r="O127" s="35">
        <f>出租!O26-出租!O28</f>
        <v>512.45</v>
      </c>
      <c r="P127" s="36">
        <f t="shared" si="91"/>
        <v>-0.0534549954746113</v>
      </c>
      <c r="Q127" s="127"/>
      <c r="R127" s="127"/>
      <c r="S127" s="131">
        <f t="shared" si="92"/>
        <v>3629.35</v>
      </c>
      <c r="T127" s="132">
        <f t="shared" si="93"/>
        <v>-0.174554907615469</v>
      </c>
      <c r="U127" s="35"/>
      <c r="V127" s="35">
        <f>出租!V26-出租!V28</f>
        <v>571.97</v>
      </c>
      <c r="W127" s="36">
        <f t="shared" si="94"/>
        <v>-0.101918728802914</v>
      </c>
      <c r="X127" s="35">
        <f>出租!X26-出租!X28</f>
        <v>549.69</v>
      </c>
      <c r="Y127" s="36">
        <f t="shared" si="95"/>
        <v>-0.116197183098592</v>
      </c>
      <c r="Z127" s="35">
        <f>出租!Z26-出租!Z28</f>
        <v>556.58</v>
      </c>
      <c r="AA127" s="36">
        <f t="shared" si="96"/>
        <v>-0.08443684097975</v>
      </c>
      <c r="AB127" s="35">
        <f>出租!AB26-出租!AB28</f>
        <v>532.8</v>
      </c>
      <c r="AC127" s="36">
        <f t="shared" si="97"/>
        <v>-0.0871554131615464</v>
      </c>
      <c r="AD127" s="35">
        <f>出租!AD26-出租!AD28</f>
        <v>560.94</v>
      </c>
      <c r="AE127" s="36">
        <f t="shared" si="98"/>
        <v>-0.0134543344061629</v>
      </c>
      <c r="AF127" s="35">
        <f>出租!AF26-出租!AF28</f>
        <v>552.21</v>
      </c>
      <c r="AG127" s="36">
        <f t="shared" si="99"/>
        <v>-0.0329241169156407</v>
      </c>
      <c r="AH127" s="35">
        <f>出租!AH26-出租!AH28</f>
        <v>541.39</v>
      </c>
      <c r="AI127" s="36">
        <f t="shared" si="100"/>
        <v>-0.0693448850841458</v>
      </c>
      <c r="AJ127" s="35">
        <f>出租!AJ26-出租!AJ28</f>
        <v>531.26</v>
      </c>
      <c r="AK127" s="36">
        <f t="shared" si="101"/>
        <v>-0.0720997659552171</v>
      </c>
      <c r="AL127" s="35">
        <f>出租!AL26-出租!AL28</f>
        <v>533.21</v>
      </c>
      <c r="AM127" s="36">
        <f t="shared" si="102"/>
        <v>-0.0396246465301422</v>
      </c>
      <c r="AN127" s="35">
        <f>出租!AN26-出租!AN28</f>
        <v>540.62</v>
      </c>
      <c r="AO127" s="36">
        <f t="shared" si="103"/>
        <v>-0.0396148653449869</v>
      </c>
      <c r="AP127" s="35">
        <f>出租!AP26-出租!AP28</f>
        <v>531.87</v>
      </c>
      <c r="AQ127" s="36">
        <f t="shared" si="104"/>
        <v>-0.00879628766842455</v>
      </c>
      <c r="AR127" s="35">
        <f>出租!AR26-出租!AR28</f>
        <v>545.9</v>
      </c>
      <c r="AS127" s="36">
        <f t="shared" si="105"/>
        <v>0.0170659909825983</v>
      </c>
      <c r="AT127" s="35">
        <f t="shared" si="106"/>
        <v>6548.44</v>
      </c>
      <c r="AU127" s="36">
        <f t="shared" si="107"/>
        <v>-0.0558425548787084</v>
      </c>
      <c r="AV127" s="37"/>
      <c r="AW127" s="35">
        <v>636.88</v>
      </c>
      <c r="AX127" s="36"/>
      <c r="AY127" s="35">
        <v>621.96</v>
      </c>
      <c r="AZ127" s="36"/>
      <c r="BA127" s="35">
        <v>607.91</v>
      </c>
      <c r="BB127" s="36"/>
      <c r="BC127" s="35">
        <v>583.67</v>
      </c>
      <c r="BD127" s="36"/>
      <c r="BE127" s="35">
        <v>568.59</v>
      </c>
      <c r="BF127" s="36"/>
      <c r="BG127" s="35">
        <v>571.01</v>
      </c>
      <c r="BH127" s="36"/>
      <c r="BI127" s="35">
        <v>581.73</v>
      </c>
      <c r="BJ127" s="36"/>
      <c r="BK127" s="35">
        <v>572.54</v>
      </c>
      <c r="BL127" s="36"/>
      <c r="BM127" s="35">
        <v>555.21</v>
      </c>
      <c r="BN127" s="36"/>
      <c r="BO127" s="35">
        <v>562.92</v>
      </c>
      <c r="BP127" s="36"/>
      <c r="BQ127" s="35">
        <v>536.59</v>
      </c>
      <c r="BR127" s="36"/>
      <c r="BS127" s="35">
        <v>536.74</v>
      </c>
      <c r="BT127" s="36"/>
      <c r="BU127" s="35">
        <f t="shared" si="108"/>
        <v>6935.75</v>
      </c>
      <c r="BV127" s="36"/>
      <c r="BW127" s="40"/>
      <c r="BX127" s="49"/>
      <c r="BY127" s="49"/>
      <c r="BZ127" s="49"/>
      <c r="CA127" s="49"/>
      <c r="CB127" s="49"/>
      <c r="CC127" s="49"/>
      <c r="CD127" s="50"/>
      <c r="CE127" s="49"/>
      <c r="CF127" s="50"/>
      <c r="CG127" s="50"/>
      <c r="CH127" s="50"/>
      <c r="CI127" s="50"/>
      <c r="CJ127" s="47"/>
    </row>
    <row r="128" ht="28.8" customHeight="1" spans="1:88">
      <c r="A128" s="29"/>
      <c r="B128" s="34" t="s">
        <v>304</v>
      </c>
      <c r="C128" s="35">
        <f>网约车!C26-网约车!C28</f>
        <v>758.39893709465</v>
      </c>
      <c r="D128" s="36">
        <f t="shared" si="85"/>
        <v>0.242826954568581</v>
      </c>
      <c r="E128" s="35">
        <f>网约车!E26-网约车!E28</f>
        <v>647.96508105919</v>
      </c>
      <c r="F128" s="36">
        <f t="shared" si="86"/>
        <v>0.149223357406348</v>
      </c>
      <c r="G128" s="35">
        <f>网约车!G26-网约车!G28</f>
        <v>711.56637022425</v>
      </c>
      <c r="H128" s="36">
        <f t="shared" si="87"/>
        <v>0.267334838099595</v>
      </c>
      <c r="I128" s="35">
        <f>网约车!I26-网约车!I28</f>
        <v>662.50541062326</v>
      </c>
      <c r="J128" s="36">
        <f t="shared" si="88"/>
        <v>0.0783369234013698</v>
      </c>
      <c r="K128" s="35">
        <f>网约车!K26-网约车!K28</f>
        <v>704.92825649048</v>
      </c>
      <c r="L128" s="36">
        <f t="shared" si="89"/>
        <v>0.021888501302936</v>
      </c>
      <c r="M128" s="35">
        <f>网约车!M26-网约车!M28</f>
        <v>699.85711197041</v>
      </c>
      <c r="N128" s="36">
        <f t="shared" si="90"/>
        <v>0.127681408447492</v>
      </c>
      <c r="O128" s="35">
        <f>网约车!O26-网约车!O28</f>
        <v>759.8198898181</v>
      </c>
      <c r="P128" s="36">
        <f t="shared" si="91"/>
        <v>0.0838830431257662</v>
      </c>
      <c r="Q128" s="127"/>
      <c r="R128" s="127"/>
      <c r="S128" s="131">
        <f t="shared" si="92"/>
        <v>4945.04105728034</v>
      </c>
      <c r="T128" s="132">
        <f t="shared" si="93"/>
        <v>-0.0218481349489176</v>
      </c>
      <c r="U128" s="35"/>
      <c r="V128" s="35">
        <f>网约车!V26-网约车!V28</f>
        <v>610.220863255988</v>
      </c>
      <c r="W128" s="36">
        <f t="shared" si="94"/>
        <v>0.279580980281892</v>
      </c>
      <c r="X128" s="35">
        <f>网约车!X26-网约车!X28</f>
        <v>563.828673410855</v>
      </c>
      <c r="Y128" s="36">
        <f t="shared" si="95"/>
        <v>0.822226494988695</v>
      </c>
      <c r="Z128" s="35">
        <f>网约车!Z26-网约车!Z28</f>
        <v>561.466748038951</v>
      </c>
      <c r="AA128" s="36">
        <f t="shared" si="96"/>
        <v>0.468741803302126</v>
      </c>
      <c r="AB128" s="35">
        <f>网约车!AB26-网约车!AB28</f>
        <v>614.377006152712</v>
      </c>
      <c r="AC128" s="36">
        <f t="shared" si="97"/>
        <v>0.445072819539964</v>
      </c>
      <c r="AD128" s="35">
        <f>网约车!AD26-网约车!AD28</f>
        <v>689.828934949045</v>
      </c>
      <c r="AE128" s="36">
        <f t="shared" si="98"/>
        <v>0.639913220692649</v>
      </c>
      <c r="AF128" s="35">
        <f>网约车!AF26-网约车!AF28</f>
        <v>620.61598845894</v>
      </c>
      <c r="AG128" s="36">
        <f t="shared" si="99"/>
        <v>0.558428588803934</v>
      </c>
      <c r="AH128" s="35">
        <f>网约车!AH26-网约车!AH28</f>
        <v>701.016493095866</v>
      </c>
      <c r="AI128" s="36">
        <f t="shared" si="100"/>
        <v>0.510103278839848</v>
      </c>
      <c r="AJ128" s="35">
        <f>网约车!AJ26-网约车!AJ28</f>
        <v>694.139468914751</v>
      </c>
      <c r="AK128" s="36">
        <f t="shared" si="101"/>
        <v>0.510445424840924</v>
      </c>
      <c r="AL128" s="35">
        <f>网约车!AL26-网约车!AL28</f>
        <v>700.690833479127</v>
      </c>
      <c r="AM128" s="36">
        <f t="shared" si="102"/>
        <v>0.590870662510504</v>
      </c>
      <c r="AN128" s="35">
        <f>网约车!AN26-网约车!AN28</f>
        <v>756.57734342451</v>
      </c>
      <c r="AO128" s="36">
        <f t="shared" si="103"/>
        <v>0.585708778958362</v>
      </c>
      <c r="AP128" s="35">
        <f>网约车!AP26-网约车!AP28</f>
        <v>659.54866583563</v>
      </c>
      <c r="AQ128" s="36">
        <f t="shared" si="104"/>
        <v>0.379081674472725</v>
      </c>
      <c r="AR128" s="35">
        <f>网约车!AR26-网约车!AR28</f>
        <v>689.40982478403</v>
      </c>
      <c r="AS128" s="36">
        <f t="shared" si="105"/>
        <v>0.386286606002108</v>
      </c>
      <c r="AT128" s="35">
        <f t="shared" si="106"/>
        <v>7861.72084380041</v>
      </c>
      <c r="AU128" s="36">
        <f t="shared" si="107"/>
        <v>0.503333968505257</v>
      </c>
      <c r="AV128" s="37"/>
      <c r="AW128" s="35">
        <v>476.891164107141</v>
      </c>
      <c r="AX128" s="36"/>
      <c r="AY128" s="35">
        <v>309.417448907389</v>
      </c>
      <c r="AZ128" s="36"/>
      <c r="BA128" s="35">
        <v>382.277366094315</v>
      </c>
      <c r="BB128" s="36"/>
      <c r="BC128" s="35">
        <v>425.152973500877</v>
      </c>
      <c r="BD128" s="36"/>
      <c r="BE128" s="35">
        <v>420.649657704255</v>
      </c>
      <c r="BF128" s="36"/>
      <c r="BG128" s="35">
        <v>398.231906753746</v>
      </c>
      <c r="BH128" s="36"/>
      <c r="BI128" s="35">
        <v>464.217582279822</v>
      </c>
      <c r="BJ128" s="36"/>
      <c r="BK128" s="35">
        <v>459.559450145546</v>
      </c>
      <c r="BL128" s="36"/>
      <c r="BM128" s="35">
        <v>440.444877129979</v>
      </c>
      <c r="BN128" s="36"/>
      <c r="BO128" s="35">
        <v>477.122504121784</v>
      </c>
      <c r="BP128" s="36"/>
      <c r="BQ128" s="35">
        <v>478.252070232026</v>
      </c>
      <c r="BR128" s="36"/>
      <c r="BS128" s="35">
        <v>497.30684967967</v>
      </c>
      <c r="BT128" s="36"/>
      <c r="BU128" s="35">
        <f t="shared" si="108"/>
        <v>5229.52385065655</v>
      </c>
      <c r="BV128" s="36"/>
      <c r="BW128" s="40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7"/>
    </row>
    <row r="129" s="15" customFormat="1" ht="28.8" customHeight="1" spans="1:88">
      <c r="A129" s="48" t="s">
        <v>98</v>
      </c>
      <c r="B129" s="34" t="s">
        <v>300</v>
      </c>
      <c r="C129" s="35">
        <f>C130+C131+C132+C133</f>
        <v>2964.86125968431</v>
      </c>
      <c r="D129" s="36">
        <f t="shared" si="85"/>
        <v>0.0591029215093497</v>
      </c>
      <c r="E129" s="35">
        <f>E130+E131+E132+E133</f>
        <v>2605.9371157795</v>
      </c>
      <c r="F129" s="36">
        <f t="shared" si="86"/>
        <v>0.01019231516368</v>
      </c>
      <c r="G129" s="35">
        <f>G130+G131+G132+G133</f>
        <v>2635.89695802047</v>
      </c>
      <c r="H129" s="36">
        <f t="shared" si="87"/>
        <v>-0.0206389417557958</v>
      </c>
      <c r="I129" s="35">
        <f>I130+I131+I132+I133</f>
        <v>2666.76453037393</v>
      </c>
      <c r="J129" s="36">
        <f t="shared" si="88"/>
        <v>-0.0458973255180183</v>
      </c>
      <c r="K129" s="35">
        <f>K130+K131+K132+K133</f>
        <v>2580.26700282446</v>
      </c>
      <c r="L129" s="36">
        <f t="shared" si="89"/>
        <v>-0.0723343671470894</v>
      </c>
      <c r="M129" s="35">
        <f>M130+M131+M132+M133</f>
        <v>2497.35940220533</v>
      </c>
      <c r="N129" s="36">
        <f t="shared" si="90"/>
        <v>-0.131061438450852</v>
      </c>
      <c r="O129" s="35">
        <f>O130+O131+O132+O133</f>
        <v>2526.25725945879</v>
      </c>
      <c r="P129" s="36">
        <f t="shared" si="91"/>
        <v>-0.0261140783105948</v>
      </c>
      <c r="Q129" s="127"/>
      <c r="R129" s="127"/>
      <c r="S129" s="131">
        <f t="shared" si="92"/>
        <v>18477.3435283468</v>
      </c>
      <c r="T129" s="132">
        <f t="shared" si="93"/>
        <v>-0.147118391328027</v>
      </c>
      <c r="U129" s="35"/>
      <c r="V129" s="35">
        <f>V130+V131+V132+V133</f>
        <v>2799.40806457131</v>
      </c>
      <c r="W129" s="36">
        <f t="shared" si="94"/>
        <v>0.0732350371293635</v>
      </c>
      <c r="X129" s="35">
        <f>X130+X131+X132+X133</f>
        <v>2579.64456535909</v>
      </c>
      <c r="Y129" s="36">
        <f t="shared" si="95"/>
        <v>0.0433115154136614</v>
      </c>
      <c r="Z129" s="35">
        <f>Z130+Z131+Z132+Z133</f>
        <v>2691.4455458808</v>
      </c>
      <c r="AA129" s="36">
        <f t="shared" si="96"/>
        <v>0.014370834699841</v>
      </c>
      <c r="AB129" s="35">
        <f>AB130+AB131+AB132+AB133</f>
        <v>2795.04984285032</v>
      </c>
      <c r="AC129" s="36">
        <f t="shared" si="97"/>
        <v>-0.00310973865273656</v>
      </c>
      <c r="AD129" s="35">
        <f>AD130+AD131+AD132+AD133</f>
        <v>2781.46231944499</v>
      </c>
      <c r="AE129" s="36">
        <f t="shared" si="98"/>
        <v>-0.0259503710605037</v>
      </c>
      <c r="AF129" s="35">
        <f>AF130+AF131+AF132+AF133</f>
        <v>2874.03449762089</v>
      </c>
      <c r="AG129" s="36">
        <f t="shared" si="99"/>
        <v>-0.0766091635789572</v>
      </c>
      <c r="AH129" s="35">
        <f>AH130+AH131+AH132+AH133</f>
        <v>2593.99710294249</v>
      </c>
      <c r="AI129" s="36">
        <f t="shared" si="100"/>
        <v>-0.11957593699356</v>
      </c>
      <c r="AJ129" s="35">
        <f>AJ130+AJ131+AJ132+AJ133</f>
        <v>2549.56348894389</v>
      </c>
      <c r="AK129" s="36">
        <f t="shared" si="101"/>
        <v>-0.126214345897748</v>
      </c>
      <c r="AL129" s="35">
        <f>AL130+AL131+AL132+AL133</f>
        <v>2580.52282878808</v>
      </c>
      <c r="AM129" s="36">
        <f t="shared" si="102"/>
        <v>-0.115414691711282</v>
      </c>
      <c r="AN129" s="35">
        <f>AN130+AN131+AN132+AN133</f>
        <v>2590.6398458613</v>
      </c>
      <c r="AO129" s="36">
        <f t="shared" si="103"/>
        <v>-0.15478573799813</v>
      </c>
      <c r="AP129" s="35">
        <f>AP130+AP131+AP132+AP133</f>
        <v>2817.9382692674</v>
      </c>
      <c r="AQ129" s="36">
        <f t="shared" si="104"/>
        <v>-0.144386453076088</v>
      </c>
      <c r="AR129" s="35">
        <f>AR130+AR131+AR132+AR133</f>
        <v>3076.55294764</v>
      </c>
      <c r="AS129" s="36">
        <f t="shared" si="105"/>
        <v>-0.015695707069437</v>
      </c>
      <c r="AT129" s="35">
        <f t="shared" si="106"/>
        <v>32730.2593191706</v>
      </c>
      <c r="AU129" s="36">
        <f t="shared" si="107"/>
        <v>-0.0587062975090776</v>
      </c>
      <c r="AV129" s="37"/>
      <c r="AW129" s="38">
        <f>AW130+AW131+AW132+AW133</f>
        <v>2608.38303607664</v>
      </c>
      <c r="AX129" s="37"/>
      <c r="AY129" s="38">
        <f>AY130+AY131+AY132+AY133</f>
        <v>2472.55448372607</v>
      </c>
      <c r="AZ129" s="37"/>
      <c r="BA129" s="38">
        <f>BA130+BA131+BA132+BA133</f>
        <v>2653.31519185212</v>
      </c>
      <c r="BB129" s="37"/>
      <c r="BC129" s="38">
        <f>BC130+BC131+BC132+BC133</f>
        <v>2803.76883115791</v>
      </c>
      <c r="BD129" s="37"/>
      <c r="BE129" s="38">
        <f>BE130+BE131+BE132+BE133</f>
        <v>2855.56529852933</v>
      </c>
      <c r="BF129" s="37"/>
      <c r="BG129" s="38">
        <f>BG130+BG131+BG132+BG133</f>
        <v>3112.47890303993</v>
      </c>
      <c r="BH129" s="37"/>
      <c r="BI129" s="38">
        <f>BI130+BI131+BI132+BI133</f>
        <v>2946.30418673997</v>
      </c>
      <c r="BJ129" s="37"/>
      <c r="BK129" s="38">
        <f>BK130+BK131+BK132+BK133</f>
        <v>2917.83628739404</v>
      </c>
      <c r="BL129" s="37"/>
      <c r="BM129" s="38">
        <f>BM130+BM131+BM132+BM133</f>
        <v>2917.21194621721</v>
      </c>
      <c r="BN129" s="37"/>
      <c r="BO129" s="38">
        <f>BO130+BO131+BO132+BO133</f>
        <v>3065.06877880341</v>
      </c>
      <c r="BP129" s="37"/>
      <c r="BQ129" s="38">
        <f>BQ130+BQ131+BQ132+BQ133</f>
        <v>3293.47084252979</v>
      </c>
      <c r="BR129" s="37"/>
      <c r="BS129" s="38">
        <f>BS130+BS131+BS132+BS133</f>
        <v>3125.61163223235</v>
      </c>
      <c r="BT129" s="37"/>
      <c r="BU129" s="38">
        <f t="shared" si="108"/>
        <v>34771.5694182987</v>
      </c>
      <c r="BV129" s="37"/>
      <c r="BW129" s="39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</row>
    <row r="130" ht="28.8" customHeight="1" spans="1:88">
      <c r="A130" s="45"/>
      <c r="B130" s="34" t="s">
        <v>301</v>
      </c>
      <c r="C130" s="35">
        <f>班线包车!C27</f>
        <v>2574.3453</v>
      </c>
      <c r="D130" s="36">
        <f t="shared" si="85"/>
        <v>0.129495724550224</v>
      </c>
      <c r="E130" s="35">
        <f>班线包车!E27</f>
        <v>2270.4778</v>
      </c>
      <c r="F130" s="36">
        <f t="shared" si="86"/>
        <v>0.0930844269981448</v>
      </c>
      <c r="G130" s="35">
        <f>班线包车!G27</f>
        <v>2312.8897</v>
      </c>
      <c r="H130" s="36">
        <f t="shared" si="87"/>
        <v>0.0582582718060787</v>
      </c>
      <c r="I130" s="35">
        <f>班线包车!I27</f>
        <v>2341.8271</v>
      </c>
      <c r="J130" s="36">
        <f t="shared" si="88"/>
        <v>0.0320148744506605</v>
      </c>
      <c r="K130" s="35">
        <f>班线包车!K27</f>
        <v>2329.9036</v>
      </c>
      <c r="L130" s="36">
        <f t="shared" si="89"/>
        <v>0.0449958862236755</v>
      </c>
      <c r="M130" s="35">
        <f>班线包车!M27</f>
        <v>2252.8378</v>
      </c>
      <c r="N130" s="36">
        <f t="shared" si="90"/>
        <v>-0.0307461038824146</v>
      </c>
      <c r="O130" s="35">
        <f>班线包车!O27</f>
        <v>2284.0421</v>
      </c>
      <c r="P130" s="36">
        <f t="shared" si="91"/>
        <v>0.02998086453485</v>
      </c>
      <c r="Q130" s="127"/>
      <c r="R130" s="127"/>
      <c r="S130" s="131">
        <f t="shared" si="92"/>
        <v>16366.3234</v>
      </c>
      <c r="T130" s="132">
        <f t="shared" si="93"/>
        <v>-0.0789068622317105</v>
      </c>
      <c r="U130" s="35"/>
      <c r="V130" s="35">
        <f>班线包车!V27</f>
        <v>2279.1988</v>
      </c>
      <c r="W130" s="36">
        <f t="shared" si="94"/>
        <v>0.147362454366242</v>
      </c>
      <c r="X130" s="35">
        <f>班线包车!X27</f>
        <v>2077.1294</v>
      </c>
      <c r="Y130" s="36">
        <f t="shared" si="95"/>
        <v>0.114477681627351</v>
      </c>
      <c r="Z130" s="35">
        <f>班线包车!Z27</f>
        <v>2185.5626</v>
      </c>
      <c r="AA130" s="36">
        <f t="shared" si="96"/>
        <v>0.0643295882309314</v>
      </c>
      <c r="AB130" s="35">
        <f>班线包车!AB27</f>
        <v>2269.1796</v>
      </c>
      <c r="AC130" s="36">
        <f t="shared" si="97"/>
        <v>0.0616915623536283</v>
      </c>
      <c r="AD130" s="35">
        <f>班线包车!AD27</f>
        <v>2229.5816</v>
      </c>
      <c r="AE130" s="36">
        <f t="shared" si="98"/>
        <v>0.0112998358211744</v>
      </c>
      <c r="AF130" s="35">
        <f>班线包车!AF27</f>
        <v>2324.301</v>
      </c>
      <c r="AG130" s="36">
        <f t="shared" si="99"/>
        <v>-0.0720794688957723</v>
      </c>
      <c r="AH130" s="35">
        <f>班线包车!AH27</f>
        <v>2217.5578</v>
      </c>
      <c r="AI130" s="36">
        <f t="shared" si="100"/>
        <v>-0.0565924283464996</v>
      </c>
      <c r="AJ130" s="35">
        <f>班线包车!AJ27</f>
        <v>2185.8589</v>
      </c>
      <c r="AK130" s="36">
        <f t="shared" si="101"/>
        <v>-0.0700957786600006</v>
      </c>
      <c r="AL130" s="35">
        <f>班线包车!AL27</f>
        <v>2215.595</v>
      </c>
      <c r="AM130" s="36">
        <f t="shared" si="102"/>
        <v>-0.0513909146969619</v>
      </c>
      <c r="AN130" s="35">
        <f>班线包车!AN27</f>
        <v>2222.7273</v>
      </c>
      <c r="AO130" s="36">
        <f t="shared" si="103"/>
        <v>-0.0873269968618756</v>
      </c>
      <c r="AP130" s="35">
        <f>班线包车!AP27</f>
        <v>2449.5953</v>
      </c>
      <c r="AQ130" s="36">
        <f t="shared" si="104"/>
        <v>-0.0968519389589312</v>
      </c>
      <c r="AR130" s="35">
        <f>班线包车!AR27</f>
        <v>2678.3547</v>
      </c>
      <c r="AS130" s="36">
        <f t="shared" si="105"/>
        <v>0.0572681606068974</v>
      </c>
      <c r="AT130" s="35">
        <f t="shared" si="106"/>
        <v>27334.642</v>
      </c>
      <c r="AU130" s="36">
        <f t="shared" si="107"/>
        <v>-0.00486764617320534</v>
      </c>
      <c r="AV130" s="37"/>
      <c r="AW130" s="35">
        <v>1986.468</v>
      </c>
      <c r="AX130" s="36"/>
      <c r="AY130" s="35">
        <v>1863.7694</v>
      </c>
      <c r="AZ130" s="36"/>
      <c r="BA130" s="35">
        <v>2053.4641</v>
      </c>
      <c r="BB130" s="36"/>
      <c r="BC130" s="35">
        <v>2137.3247</v>
      </c>
      <c r="BD130" s="36"/>
      <c r="BE130" s="35">
        <v>2204.6692</v>
      </c>
      <c r="BF130" s="36"/>
      <c r="BG130" s="35">
        <v>2504.8492</v>
      </c>
      <c r="BH130" s="36"/>
      <c r="BI130" s="35">
        <v>2350.583</v>
      </c>
      <c r="BJ130" s="36"/>
      <c r="BK130" s="35">
        <v>2350.628</v>
      </c>
      <c r="BL130" s="36"/>
      <c r="BM130" s="35">
        <v>2335.6249</v>
      </c>
      <c r="BN130" s="36"/>
      <c r="BO130" s="35">
        <v>2435.4038</v>
      </c>
      <c r="BP130" s="36"/>
      <c r="BQ130" s="35">
        <v>2712.2854</v>
      </c>
      <c r="BR130" s="36"/>
      <c r="BS130" s="35">
        <v>2533.2785</v>
      </c>
      <c r="BT130" s="36"/>
      <c r="BU130" s="35">
        <f t="shared" si="108"/>
        <v>27468.3482</v>
      </c>
      <c r="BV130" s="36"/>
      <c r="BW130" s="40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7"/>
    </row>
    <row r="131" ht="28.8" customHeight="1" spans="1:88">
      <c r="A131" s="45"/>
      <c r="B131" s="34" t="s">
        <v>302</v>
      </c>
      <c r="C131" s="35">
        <f>公交!C30-公交!C32</f>
        <v>199.39</v>
      </c>
      <c r="D131" s="36">
        <f t="shared" ref="D131:D162" si="110">C131/V131-1</f>
        <v>-0.207165294842737</v>
      </c>
      <c r="E131" s="35">
        <f>公交!E30-公交!E32</f>
        <v>201.09</v>
      </c>
      <c r="F131" s="36">
        <f t="shared" ref="F131:F162" si="111">E131/X131-1</f>
        <v>-0.0775688073394499</v>
      </c>
      <c r="G131" s="35">
        <f>公交!G30-公交!G32</f>
        <v>203.62</v>
      </c>
      <c r="H131" s="36">
        <f t="shared" ref="H131:H162" si="112">G131/Z131-1</f>
        <v>4.91135013014343e-5</v>
      </c>
      <c r="I131" s="35">
        <f>公交!I30-公交!I32</f>
        <v>211.85</v>
      </c>
      <c r="J131" s="36">
        <f t="shared" ref="J131:J162" si="113">I131/AB131-1</f>
        <v>-0.0653401570634428</v>
      </c>
      <c r="K131" s="35">
        <f>公交!K30-公交!K32</f>
        <v>142.04</v>
      </c>
      <c r="L131" s="36">
        <f t="shared" ref="L131:L162" si="114">K131/AD131-1</f>
        <v>-0.389075268817204</v>
      </c>
      <c r="M131" s="35">
        <f>公交!M30-公交!M32</f>
        <v>136.32</v>
      </c>
      <c r="N131" s="36">
        <f t="shared" ref="N131:N162" si="115">M131/AF131-1</f>
        <v>-0.400501341307886</v>
      </c>
      <c r="O131" s="35">
        <f>公交!O30-公交!O32</f>
        <v>133.07</v>
      </c>
      <c r="P131" s="36">
        <f t="shared" ref="P131:P162" si="116">O131/AH131-1</f>
        <v>-0.365759496687478</v>
      </c>
      <c r="Q131" s="127"/>
      <c r="R131" s="127"/>
      <c r="S131" s="131">
        <f t="shared" ref="S131:S162" si="117">E131+C131+G131+I131+K131+M131+O131+Q131</f>
        <v>1227.38</v>
      </c>
      <c r="T131" s="132">
        <f t="shared" ref="T131:T162" si="118">S131/SUM(V131,X131,Z131,AB131,AD131,AF131,AH131,AJ131)-1</f>
        <v>-0.306121987483535</v>
      </c>
      <c r="U131" s="35"/>
      <c r="V131" s="35">
        <f>公交!V30-公交!V32</f>
        <v>251.49</v>
      </c>
      <c r="W131" s="36">
        <f t="shared" ref="W131:W162" si="119">V131/AW131-1</f>
        <v>-0.195721001631008</v>
      </c>
      <c r="X131" s="35">
        <f>公交!X30-公交!X32</f>
        <v>218</v>
      </c>
      <c r="Y131" s="36">
        <f t="shared" ref="Y131:Y162" si="120">X131/AY131-1</f>
        <v>-0.352270026146898</v>
      </c>
      <c r="Z131" s="35">
        <f>公交!Z30-公交!Z32</f>
        <v>203.61</v>
      </c>
      <c r="AA131" s="36">
        <f t="shared" ref="AA131:AA162" si="121">Z131/BA131-1</f>
        <v>-0.348864726574992</v>
      </c>
      <c r="AB131" s="35">
        <f>公交!AB30-公交!AB32</f>
        <v>226.66</v>
      </c>
      <c r="AC131" s="36">
        <f t="shared" ref="AC131:AC162" si="122">AB131/BC131-1</f>
        <v>-0.385328813559322</v>
      </c>
      <c r="AD131" s="35">
        <f>公交!AD30-公交!AD32</f>
        <v>232.5</v>
      </c>
      <c r="AE131" s="36">
        <f t="shared" ref="AE131:AE162" si="123">AD131/BE131-1</f>
        <v>-0.322315494928297</v>
      </c>
      <c r="AF131" s="35">
        <f>公交!AF30-公交!AF32</f>
        <v>227.39</v>
      </c>
      <c r="AG131" s="36">
        <f t="shared" ref="AG131:AG162" si="124">AF131/BG131-1</f>
        <v>-0.291994893670019</v>
      </c>
      <c r="AH131" s="35">
        <f>公交!AH30-公交!AH32</f>
        <v>209.81</v>
      </c>
      <c r="AI131" s="36">
        <f t="shared" ref="AI131:AI162" si="125">AH131/BI131-1</f>
        <v>-0.320585473268353</v>
      </c>
      <c r="AJ131" s="35">
        <f>公交!AJ30-公交!AJ32</f>
        <v>199.41</v>
      </c>
      <c r="AK131" s="36">
        <f t="shared" ref="AK131:AK162" si="126">AJ131/BK131-1</f>
        <v>-0.294797892279944</v>
      </c>
      <c r="AL131" s="35">
        <f>公交!AL30-公交!AL32</f>
        <v>199.21</v>
      </c>
      <c r="AM131" s="36">
        <f t="shared" ref="AM131:AM162" si="127">AL131/BM131-1</f>
        <v>-0.292477624662594</v>
      </c>
      <c r="AN131" s="35">
        <f>公交!AN30-公交!AN32</f>
        <v>200.55</v>
      </c>
      <c r="AO131" s="36">
        <f t="shared" ref="AO131:AO162" si="128">AN131/BO131-1</f>
        <v>-0.376806189987881</v>
      </c>
      <c r="AP131" s="35">
        <f>公交!AP30-公交!AP32</f>
        <v>192.17</v>
      </c>
      <c r="AQ131" s="36">
        <f t="shared" ref="AQ131:AQ162" si="129">AP131/BQ131-1</f>
        <v>-0.337687403067379</v>
      </c>
      <c r="AR131" s="35">
        <f>公交!AR30-公交!AR32</f>
        <v>192.17</v>
      </c>
      <c r="AS131" s="36">
        <f t="shared" ref="AS131:AS162" si="130">AR131/BS131-1</f>
        <v>-0.305342683632157</v>
      </c>
      <c r="AT131" s="35">
        <f t="shared" ref="AT131:AT162" si="131">X131+V131+Z131+AB131+AD131+AF131+AH131+AJ131+AL131+AN131+AP131+AR131</f>
        <v>2552.97</v>
      </c>
      <c r="AU131" s="36">
        <f t="shared" ref="AU131:AU162" si="132">AT131/SUM(AW131,AY131,BA131,BC131,BE131,BG131,BI131,BK131,BM131,BO131,BQ131,BS131)-1</f>
        <v>-0.320420370059813</v>
      </c>
      <c r="AV131" s="37"/>
      <c r="AW131" s="35">
        <v>312.69</v>
      </c>
      <c r="AX131" s="36"/>
      <c r="AY131" s="35">
        <v>336.56</v>
      </c>
      <c r="AZ131" s="36"/>
      <c r="BA131" s="35">
        <v>312.7</v>
      </c>
      <c r="BB131" s="36"/>
      <c r="BC131" s="35">
        <v>368.75</v>
      </c>
      <c r="BD131" s="36"/>
      <c r="BE131" s="35">
        <v>343.08</v>
      </c>
      <c r="BF131" s="36"/>
      <c r="BG131" s="35">
        <v>321.17</v>
      </c>
      <c r="BH131" s="36"/>
      <c r="BI131" s="35">
        <v>308.81</v>
      </c>
      <c r="BJ131" s="36"/>
      <c r="BK131" s="35">
        <v>282.77</v>
      </c>
      <c r="BL131" s="36"/>
      <c r="BM131" s="35">
        <v>281.56</v>
      </c>
      <c r="BN131" s="36"/>
      <c r="BO131" s="35">
        <v>321.81</v>
      </c>
      <c r="BP131" s="36"/>
      <c r="BQ131" s="35">
        <v>290.15</v>
      </c>
      <c r="BR131" s="36"/>
      <c r="BS131" s="35">
        <v>276.64</v>
      </c>
      <c r="BT131" s="36"/>
      <c r="BU131" s="35">
        <f t="shared" ref="BU131:BU162" si="133">AW131+AY131+BA131+BC131+BE131+BG131+BI131+BK131+BM131+BO131+BQ131+BS131</f>
        <v>3756.69</v>
      </c>
      <c r="BV131" s="36"/>
      <c r="BW131" s="40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7"/>
    </row>
    <row r="132" ht="28.8" customHeight="1" spans="1:88">
      <c r="A132" s="45"/>
      <c r="B132" s="34" t="s">
        <v>303</v>
      </c>
      <c r="C132" s="35">
        <f>出租!C30-出租!C32</f>
        <v>103.08</v>
      </c>
      <c r="D132" s="36">
        <f t="shared" si="110"/>
        <v>-0.515942709556234</v>
      </c>
      <c r="E132" s="35">
        <f>出租!E30-出租!E32</f>
        <v>64.34</v>
      </c>
      <c r="F132" s="36">
        <f t="shared" si="111"/>
        <v>-0.656926522341901</v>
      </c>
      <c r="G132" s="35">
        <f>出租!G30-出租!G32</f>
        <v>40.55</v>
      </c>
      <c r="H132" s="36">
        <f t="shared" si="112"/>
        <v>-0.795429320956513</v>
      </c>
      <c r="I132" s="35">
        <f>出租!I30-出租!I32</f>
        <v>37.87</v>
      </c>
      <c r="J132" s="36">
        <f t="shared" si="113"/>
        <v>-0.803006658343737</v>
      </c>
      <c r="K132" s="35">
        <f>出租!K30-出租!K32</f>
        <v>33.4</v>
      </c>
      <c r="L132" s="36">
        <f t="shared" si="114"/>
        <v>-0.832261952591402</v>
      </c>
      <c r="M132" s="35">
        <f>出租!M30-出租!M32</f>
        <v>32.19</v>
      </c>
      <c r="N132" s="36">
        <f t="shared" si="115"/>
        <v>-0.832037568484216</v>
      </c>
      <c r="O132" s="35">
        <f>出租!O30-出租!O32</f>
        <v>31.41</v>
      </c>
      <c r="P132" s="36">
        <f t="shared" si="116"/>
        <v>-0.635487988859232</v>
      </c>
      <c r="Q132" s="127"/>
      <c r="R132" s="127"/>
      <c r="S132" s="131">
        <f t="shared" si="117"/>
        <v>342.84</v>
      </c>
      <c r="T132" s="132">
        <f t="shared" si="118"/>
        <v>-0.746622520471813</v>
      </c>
      <c r="U132" s="35"/>
      <c r="V132" s="35">
        <f>出租!V30-出租!V32</f>
        <v>212.95</v>
      </c>
      <c r="W132" s="36">
        <f t="shared" si="119"/>
        <v>0.023109445565485</v>
      </c>
      <c r="X132" s="35">
        <f>出租!X30-出租!X32</f>
        <v>187.54</v>
      </c>
      <c r="Y132" s="36">
        <f t="shared" si="120"/>
        <v>-0.0585341365461846</v>
      </c>
      <c r="Z132" s="35">
        <f>出租!Z30-出租!Z32</f>
        <v>198.22</v>
      </c>
      <c r="AA132" s="36">
        <f t="shared" si="121"/>
        <v>0.0022753703797338</v>
      </c>
      <c r="AB132" s="35">
        <f>出租!AB30-出租!AB32</f>
        <v>192.24</v>
      </c>
      <c r="AC132" s="36">
        <f t="shared" si="122"/>
        <v>-0.0309507006754712</v>
      </c>
      <c r="AD132" s="35">
        <f>出租!AD30-出租!AD32</f>
        <v>199.12</v>
      </c>
      <c r="AE132" s="36">
        <f t="shared" si="123"/>
        <v>-0.0405242615525466</v>
      </c>
      <c r="AF132" s="35">
        <f>出租!AF30-出租!AF32</f>
        <v>191.65</v>
      </c>
      <c r="AG132" s="36">
        <f t="shared" si="124"/>
        <v>-0.0111449357618287</v>
      </c>
      <c r="AH132" s="35">
        <f>出租!AH30-出租!AH32</f>
        <v>86.17</v>
      </c>
      <c r="AI132" s="36">
        <f t="shared" si="125"/>
        <v>-0.542452078797855</v>
      </c>
      <c r="AJ132" s="35">
        <f>出租!AJ30-出租!AJ32</f>
        <v>85.1900000000001</v>
      </c>
      <c r="AK132" s="36">
        <f t="shared" si="126"/>
        <v>-0.54760766820668</v>
      </c>
      <c r="AL132" s="35">
        <f>出租!AL30-出租!AL32</f>
        <v>86.9999999999999</v>
      </c>
      <c r="AM132" s="36">
        <f t="shared" si="127"/>
        <v>-0.546851398510339</v>
      </c>
      <c r="AN132" s="35">
        <f>出租!AN30-出租!AN32</f>
        <v>85.48</v>
      </c>
      <c r="AO132" s="36">
        <f t="shared" si="128"/>
        <v>-0.570517007486309</v>
      </c>
      <c r="AP132" s="35">
        <f>出租!AP30-出租!AP32</f>
        <v>94.95</v>
      </c>
      <c r="AQ132" s="36">
        <f t="shared" si="129"/>
        <v>-0.491919948630137</v>
      </c>
      <c r="AR132" s="35">
        <f>出租!AR30-出租!AR32</f>
        <v>119.1</v>
      </c>
      <c r="AS132" s="36">
        <f t="shared" si="130"/>
        <v>-0.402138446865117</v>
      </c>
      <c r="AT132" s="35">
        <f t="shared" si="131"/>
        <v>1739.61</v>
      </c>
      <c r="AU132" s="36">
        <f t="shared" si="132"/>
        <v>-0.262433328528182</v>
      </c>
      <c r="AV132" s="37"/>
      <c r="AW132" s="35">
        <v>208.14</v>
      </c>
      <c r="AX132" s="36"/>
      <c r="AY132" s="35">
        <v>199.2</v>
      </c>
      <c r="AZ132" s="36"/>
      <c r="BA132" s="35">
        <v>197.77</v>
      </c>
      <c r="BB132" s="36"/>
      <c r="BC132" s="35">
        <v>198.38</v>
      </c>
      <c r="BD132" s="36"/>
      <c r="BE132" s="35">
        <v>207.53</v>
      </c>
      <c r="BF132" s="36"/>
      <c r="BG132" s="35">
        <v>193.81</v>
      </c>
      <c r="BH132" s="36"/>
      <c r="BI132" s="35">
        <v>188.33</v>
      </c>
      <c r="BJ132" s="36"/>
      <c r="BK132" s="35">
        <v>188.31</v>
      </c>
      <c r="BL132" s="36"/>
      <c r="BM132" s="35">
        <v>191.99</v>
      </c>
      <c r="BN132" s="36"/>
      <c r="BO132" s="35">
        <v>199.03</v>
      </c>
      <c r="BP132" s="36"/>
      <c r="BQ132" s="35">
        <v>186.88</v>
      </c>
      <c r="BR132" s="36"/>
      <c r="BS132" s="35">
        <v>199.21</v>
      </c>
      <c r="BT132" s="36"/>
      <c r="BU132" s="35">
        <f t="shared" si="133"/>
        <v>2358.58</v>
      </c>
      <c r="BV132" s="36"/>
      <c r="BW132" s="40"/>
      <c r="BX132" s="49"/>
      <c r="BY132" s="49"/>
      <c r="BZ132" s="49"/>
      <c r="CA132" s="49"/>
      <c r="CB132" s="49"/>
      <c r="CC132" s="49"/>
      <c r="CD132" s="50"/>
      <c r="CE132" s="49"/>
      <c r="CF132" s="50"/>
      <c r="CG132" s="50"/>
      <c r="CH132" s="50"/>
      <c r="CI132" s="50"/>
      <c r="CJ132" s="47"/>
    </row>
    <row r="133" ht="28.8" customHeight="1" spans="1:88">
      <c r="A133" s="29"/>
      <c r="B133" s="34" t="s">
        <v>304</v>
      </c>
      <c r="C133" s="35">
        <f>网约车!C30-网约车!C32</f>
        <v>88.045959684313</v>
      </c>
      <c r="D133" s="36">
        <f t="shared" si="110"/>
        <v>0.578754182274087</v>
      </c>
      <c r="E133" s="35">
        <f>网约车!E30-网约车!E32</f>
        <v>70.029315779502</v>
      </c>
      <c r="F133" s="36">
        <f t="shared" si="111"/>
        <v>-0.277863404303656</v>
      </c>
      <c r="G133" s="35">
        <f>网约车!G30-网约车!G32</f>
        <v>78.837258020473</v>
      </c>
      <c r="H133" s="36">
        <f t="shared" si="112"/>
        <v>-0.242335165495614</v>
      </c>
      <c r="I133" s="35">
        <f>网约车!I30-网约车!I32</f>
        <v>75.217430373931</v>
      </c>
      <c r="J133" s="36">
        <f t="shared" si="113"/>
        <v>-0.296837808630745</v>
      </c>
      <c r="K133" s="35">
        <f>网约车!K30-网约车!K32</f>
        <v>74.923402824463</v>
      </c>
      <c r="L133" s="36">
        <f t="shared" si="114"/>
        <v>-0.376991895855626</v>
      </c>
      <c r="M133" s="35">
        <f>网约车!M30-网约车!M32</f>
        <v>76.011602205327</v>
      </c>
      <c r="N133" s="36">
        <f t="shared" si="115"/>
        <v>-0.418397980090676</v>
      </c>
      <c r="O133" s="35">
        <f>网约车!O30-网约车!O32</f>
        <v>77.73515945879</v>
      </c>
      <c r="P133" s="36">
        <f t="shared" si="116"/>
        <v>-0.0338574084545983</v>
      </c>
      <c r="Q133" s="127"/>
      <c r="R133" s="127"/>
      <c r="S133" s="131">
        <f t="shared" si="117"/>
        <v>540.800128346799</v>
      </c>
      <c r="T133" s="132">
        <f t="shared" si="118"/>
        <v>-0.301549661759293</v>
      </c>
      <c r="U133" s="35"/>
      <c r="V133" s="35">
        <f>网约车!V30-网约车!V32</f>
        <v>55.7692645713146</v>
      </c>
      <c r="W133" s="36">
        <f t="shared" si="119"/>
        <v>-0.448293568110004</v>
      </c>
      <c r="X133" s="35">
        <f>网约车!X30-网约车!X32</f>
        <v>96.9751653590882</v>
      </c>
      <c r="Y133" s="36">
        <f t="shared" si="120"/>
        <v>0.327970615177396</v>
      </c>
      <c r="Z133" s="35">
        <f>网约车!Z30-网约车!Z32</f>
        <v>104.052945880804</v>
      </c>
      <c r="AA133" s="36">
        <f t="shared" si="121"/>
        <v>0.164149415996825</v>
      </c>
      <c r="AB133" s="35">
        <f>网约车!AB30-网约车!AB32</f>
        <v>106.970242850318</v>
      </c>
      <c r="AC133" s="36">
        <f t="shared" si="122"/>
        <v>0.0770898522007666</v>
      </c>
      <c r="AD133" s="35">
        <f>网约车!AD30-网约车!AD32</f>
        <v>120.260719444992</v>
      </c>
      <c r="AE133" s="36">
        <f t="shared" si="123"/>
        <v>0.199176368495629</v>
      </c>
      <c r="AF133" s="35">
        <f>网约车!AF30-网约车!AF32</f>
        <v>130.693497620895</v>
      </c>
      <c r="AG133" s="36">
        <f t="shared" si="124"/>
        <v>0.410619714178287</v>
      </c>
      <c r="AH133" s="35">
        <f>网约车!AH30-网约车!AH32</f>
        <v>80.459302942486</v>
      </c>
      <c r="AI133" s="36">
        <f t="shared" si="125"/>
        <v>-0.183826999823827</v>
      </c>
      <c r="AJ133" s="35">
        <f>网约车!AJ30-网约车!AJ32</f>
        <v>79.104588943886</v>
      </c>
      <c r="AK133" s="36">
        <f t="shared" si="126"/>
        <v>-0.177093537309899</v>
      </c>
      <c r="AL133" s="35">
        <f>网约车!AL30-网约车!AL32</f>
        <v>78.717828788079</v>
      </c>
      <c r="AM133" s="36">
        <f t="shared" si="127"/>
        <v>-0.271381146150394</v>
      </c>
      <c r="AN133" s="35">
        <f>网约车!AN30-网约车!AN32</f>
        <v>81.882545861298</v>
      </c>
      <c r="AO133" s="36">
        <f t="shared" si="128"/>
        <v>-0.247575816125654</v>
      </c>
      <c r="AP133" s="35">
        <f>网约车!AP30-网约车!AP32</f>
        <v>81.222969267398</v>
      </c>
      <c r="AQ133" s="36">
        <f t="shared" si="129"/>
        <v>-0.220175467602989</v>
      </c>
      <c r="AR133" s="35">
        <f>网约车!AR30-网约车!AR32</f>
        <v>86.928247640003</v>
      </c>
      <c r="AS133" s="36">
        <f t="shared" si="130"/>
        <v>-0.253726733012221</v>
      </c>
      <c r="AT133" s="35">
        <f t="shared" si="131"/>
        <v>1103.03731917056</v>
      </c>
      <c r="AU133" s="36">
        <f t="shared" si="132"/>
        <v>-0.0714792811524687</v>
      </c>
      <c r="AV133" s="37"/>
      <c r="AW133" s="35">
        <v>101.08503607664</v>
      </c>
      <c r="AX133" s="36"/>
      <c r="AY133" s="35">
        <v>73.0250837260686</v>
      </c>
      <c r="AZ133" s="36"/>
      <c r="BA133" s="35">
        <v>89.3810918521197</v>
      </c>
      <c r="BB133" s="36"/>
      <c r="BC133" s="35">
        <v>99.3141311579074</v>
      </c>
      <c r="BD133" s="36"/>
      <c r="BE133" s="35">
        <v>100.286098529326</v>
      </c>
      <c r="BF133" s="36"/>
      <c r="BG133" s="35">
        <v>92.6497030399341</v>
      </c>
      <c r="BH133" s="36"/>
      <c r="BI133" s="35">
        <v>98.5811867399665</v>
      </c>
      <c r="BJ133" s="36"/>
      <c r="BK133" s="35">
        <v>96.1282873940389</v>
      </c>
      <c r="BL133" s="36"/>
      <c r="BM133" s="35">
        <v>108.037046217208</v>
      </c>
      <c r="BN133" s="36"/>
      <c r="BO133" s="35">
        <v>108.824978803409</v>
      </c>
      <c r="BP133" s="36"/>
      <c r="BQ133" s="35">
        <v>104.155442529791</v>
      </c>
      <c r="BR133" s="36"/>
      <c r="BS133" s="35">
        <v>116.483132232347</v>
      </c>
      <c r="BT133" s="36"/>
      <c r="BU133" s="35">
        <f t="shared" si="133"/>
        <v>1187.95121829876</v>
      </c>
      <c r="BV133" s="36"/>
      <c r="BW133" s="40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7"/>
    </row>
    <row r="134" s="15" customFormat="1" ht="28.8" customHeight="1" spans="1:88">
      <c r="A134" s="48" t="s">
        <v>99</v>
      </c>
      <c r="B134" s="34" t="s">
        <v>300</v>
      </c>
      <c r="C134" s="35">
        <f>C135+C136+C137+C138</f>
        <v>3471.48980866989</v>
      </c>
      <c r="D134" s="36">
        <f t="shared" si="110"/>
        <v>-0.227175020116062</v>
      </c>
      <c r="E134" s="35">
        <f>E135+E136+E137+E138</f>
        <v>3905.09050423355</v>
      </c>
      <c r="F134" s="36">
        <f t="shared" si="111"/>
        <v>-0.0931280048007863</v>
      </c>
      <c r="G134" s="35">
        <f>G135+G136+G137+G138</f>
        <v>3939.39042616537</v>
      </c>
      <c r="H134" s="36">
        <f t="shared" si="112"/>
        <v>-0.160459046143747</v>
      </c>
      <c r="I134" s="35">
        <f>I135+I136+I137+I138</f>
        <v>3991.33101393484</v>
      </c>
      <c r="J134" s="36">
        <f t="shared" si="113"/>
        <v>-0.199970435495078</v>
      </c>
      <c r="K134" s="35">
        <f>K135+K136+K137+K138</f>
        <v>4041.77692035316</v>
      </c>
      <c r="L134" s="36">
        <f t="shared" si="114"/>
        <v>-0.0472374598982815</v>
      </c>
      <c r="M134" s="35">
        <f>M135+M136+M137+M138</f>
        <v>3548.20103709345</v>
      </c>
      <c r="N134" s="36">
        <f t="shared" si="115"/>
        <v>-0.150646585557169</v>
      </c>
      <c r="O134" s="35">
        <f>O135+O136+O137+O138</f>
        <v>3574.24831486366</v>
      </c>
      <c r="P134" s="36">
        <f t="shared" si="116"/>
        <v>-0.170115804152315</v>
      </c>
      <c r="Q134" s="127"/>
      <c r="R134" s="127"/>
      <c r="S134" s="131">
        <f t="shared" si="117"/>
        <v>26471.5280253139</v>
      </c>
      <c r="T134" s="132">
        <f t="shared" si="118"/>
        <v>-0.254399307258458</v>
      </c>
      <c r="U134" s="35"/>
      <c r="V134" s="35">
        <f>V135+V136+V137+V138</f>
        <v>4491.94824058512</v>
      </c>
      <c r="W134" s="36">
        <f t="shared" si="119"/>
        <v>-0.02550216305534</v>
      </c>
      <c r="X134" s="35">
        <f>X135+X136+X137+X138</f>
        <v>4306.10993051529</v>
      </c>
      <c r="Y134" s="36">
        <f t="shared" si="120"/>
        <v>-0.0593207786157092</v>
      </c>
      <c r="Z134" s="35">
        <f>Z135+Z136+Z137+Z138</f>
        <v>4692.31477996472</v>
      </c>
      <c r="AA134" s="36">
        <f t="shared" si="121"/>
        <v>-0.0143071736648978</v>
      </c>
      <c r="AB134" s="35">
        <f>AB135+AB136+AB137+AB138</f>
        <v>4988.97939653615</v>
      </c>
      <c r="AC134" s="36">
        <f t="shared" si="122"/>
        <v>-0.016139046819678</v>
      </c>
      <c r="AD134" s="35">
        <f>AD135+AD136+AD137+AD138</f>
        <v>4242.16606996498</v>
      </c>
      <c r="AE134" s="36">
        <f t="shared" si="123"/>
        <v>-0.174049759184277</v>
      </c>
      <c r="AF134" s="35">
        <f>AF135+AF136+AF137+AF138</f>
        <v>4177.53196344191</v>
      </c>
      <c r="AG134" s="36">
        <f t="shared" si="124"/>
        <v>-0.113917554660366</v>
      </c>
      <c r="AH134" s="35">
        <f>AH135+AH136+AH137+AH138</f>
        <v>4306.92418622666</v>
      </c>
      <c r="AI134" s="36">
        <f t="shared" si="125"/>
        <v>-0.126170074395012</v>
      </c>
      <c r="AJ134" s="35">
        <f>AJ135+AJ136+AJ137+AJ138</f>
        <v>4297.65127836254</v>
      </c>
      <c r="AK134" s="36">
        <f t="shared" si="126"/>
        <v>-0.137893323516456</v>
      </c>
      <c r="AL134" s="35">
        <f>AL135+AL136+AL137+AL138</f>
        <v>4504.1587022152</v>
      </c>
      <c r="AM134" s="36">
        <f t="shared" si="127"/>
        <v>-0.0667245691333337</v>
      </c>
      <c r="AN134" s="35">
        <f>AN135+AN136+AN137+AN138</f>
        <v>4509.96085575223</v>
      </c>
      <c r="AO134" s="36">
        <f t="shared" si="128"/>
        <v>-0.220123828424412</v>
      </c>
      <c r="AP134" s="35">
        <f>AP135+AP136+AP137+AP138</f>
        <v>4250.99566210144</v>
      </c>
      <c r="AQ134" s="36">
        <f t="shared" si="129"/>
        <v>-0.173121284106758</v>
      </c>
      <c r="AR134" s="35">
        <f>AR135+AR136+AR137+AR138</f>
        <v>3936.88604519534</v>
      </c>
      <c r="AS134" s="36">
        <f t="shared" si="130"/>
        <v>-0.126996173271467</v>
      </c>
      <c r="AT134" s="35">
        <f t="shared" si="131"/>
        <v>52705.6271108616</v>
      </c>
      <c r="AU134" s="36">
        <f t="shared" si="132"/>
        <v>-0.107329806508137</v>
      </c>
      <c r="AV134" s="37"/>
      <c r="AW134" s="38">
        <f>AW135+AW136+AW137+AW138</f>
        <v>4609.50047325781</v>
      </c>
      <c r="AX134" s="37"/>
      <c r="AY134" s="38">
        <f>AY135+AY136+AY137+AY138</f>
        <v>4577.66030398596</v>
      </c>
      <c r="AZ134" s="37"/>
      <c r="BA134" s="38">
        <f>BA135+BA136+BA137+BA138</f>
        <v>4760.42297823266</v>
      </c>
      <c r="BB134" s="37"/>
      <c r="BC134" s="38">
        <f>BC135+BC136+BC137+BC138</f>
        <v>5070.81755852726</v>
      </c>
      <c r="BD134" s="37"/>
      <c r="BE134" s="38">
        <f>BE135+BE136+BE137+BE138</f>
        <v>5136.10367832249</v>
      </c>
      <c r="BF134" s="37"/>
      <c r="BG134" s="38">
        <f>BG135+BG136+BG137+BG138</f>
        <v>4714.60865229157</v>
      </c>
      <c r="BH134" s="37"/>
      <c r="BI134" s="38">
        <f>BI135+BI136+BI137+BI138</f>
        <v>4928.78998535648</v>
      </c>
      <c r="BJ134" s="37"/>
      <c r="BK134" s="38">
        <f>BK135+BK136+BK137+BK138</f>
        <v>4985.05741295529</v>
      </c>
      <c r="BL134" s="37"/>
      <c r="BM134" s="38">
        <f>BM135+BM136+BM137+BM138</f>
        <v>4826.18373231202</v>
      </c>
      <c r="BN134" s="37"/>
      <c r="BO134" s="38">
        <f>BO135+BO136+BO137+BO138</f>
        <v>5782.91916092362</v>
      </c>
      <c r="BP134" s="37"/>
      <c r="BQ134" s="38">
        <f>BQ135+BQ136+BQ137+BQ138</f>
        <v>5141.01473456028</v>
      </c>
      <c r="BR134" s="37"/>
      <c r="BS134" s="38">
        <f>BS135+BS136+BS137+BS138</f>
        <v>4509.58624081672</v>
      </c>
      <c r="BT134" s="37"/>
      <c r="BU134" s="38">
        <f t="shared" si="133"/>
        <v>59042.6649115422</v>
      </c>
      <c r="BV134" s="37"/>
      <c r="BW134" s="39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</row>
    <row r="135" ht="28.8" customHeight="1" spans="1:88">
      <c r="A135" s="45"/>
      <c r="B135" s="34" t="s">
        <v>301</v>
      </c>
      <c r="C135" s="35">
        <f>班线包车!C29</f>
        <v>2914.7385</v>
      </c>
      <c r="D135" s="36">
        <f t="shared" si="110"/>
        <v>-0.288585165740723</v>
      </c>
      <c r="E135" s="35">
        <f>班线包车!E29</f>
        <v>3370.793718</v>
      </c>
      <c r="F135" s="36">
        <f t="shared" si="111"/>
        <v>-0.146439565856293</v>
      </c>
      <c r="G135" s="35">
        <f>班线包车!G29</f>
        <v>3406.832473</v>
      </c>
      <c r="H135" s="36">
        <f t="shared" si="112"/>
        <v>-0.199467070043567</v>
      </c>
      <c r="I135" s="35">
        <f>班线包车!I29</f>
        <v>3476.813709</v>
      </c>
      <c r="J135" s="36">
        <f t="shared" si="113"/>
        <v>-0.237051830282796</v>
      </c>
      <c r="K135" s="35">
        <f>班线包车!K29</f>
        <v>3514.446795</v>
      </c>
      <c r="L135" s="36">
        <f t="shared" si="114"/>
        <v>-0.0775268960298409</v>
      </c>
      <c r="M135" s="35">
        <f>班线包车!M29</f>
        <v>3038.760275</v>
      </c>
      <c r="N135" s="36">
        <f t="shared" si="115"/>
        <v>-0.192301246176285</v>
      </c>
      <c r="O135" s="35">
        <f>班线包车!O29</f>
        <v>3042.88102</v>
      </c>
      <c r="P135" s="36">
        <f t="shared" si="116"/>
        <v>-0.212342121226193</v>
      </c>
      <c r="Q135" s="127"/>
      <c r="R135" s="127"/>
      <c r="S135" s="131">
        <f t="shared" si="117"/>
        <v>22765.26649</v>
      </c>
      <c r="T135" s="132">
        <f t="shared" si="118"/>
        <v>-0.29142229936988</v>
      </c>
      <c r="U135" s="35"/>
      <c r="V135" s="35">
        <f>班线包车!V29</f>
        <v>4097.1011</v>
      </c>
      <c r="W135" s="36">
        <f t="shared" si="119"/>
        <v>-0.02819078518468</v>
      </c>
      <c r="X135" s="35">
        <f>班线包车!X29</f>
        <v>3949.0979</v>
      </c>
      <c r="Y135" s="36">
        <f t="shared" si="120"/>
        <v>-0.0720586297782656</v>
      </c>
      <c r="Z135" s="35">
        <f>班线包车!Z29</f>
        <v>4255.7056</v>
      </c>
      <c r="AA135" s="36">
        <f t="shared" si="121"/>
        <v>-0.0285273636045149</v>
      </c>
      <c r="AB135" s="35">
        <f>班线包车!AB29</f>
        <v>4557.0772</v>
      </c>
      <c r="AC135" s="36">
        <f t="shared" si="122"/>
        <v>-0.0373947531404016</v>
      </c>
      <c r="AD135" s="35">
        <f>班线包车!AD29</f>
        <v>3809.8095</v>
      </c>
      <c r="AE135" s="36">
        <f t="shared" si="123"/>
        <v>-0.20312199783163</v>
      </c>
      <c r="AF135" s="35">
        <f>班线包车!AF29</f>
        <v>3762.2446</v>
      </c>
      <c r="AG135" s="36">
        <f t="shared" si="124"/>
        <v>-0.135034877186501</v>
      </c>
      <c r="AH135" s="35">
        <f>班线包车!AH29</f>
        <v>3863.2014</v>
      </c>
      <c r="AI135" s="36">
        <f t="shared" si="125"/>
        <v>-0.147066223046473</v>
      </c>
      <c r="AJ135" s="35">
        <f>班线包车!AJ29</f>
        <v>3833.8786</v>
      </c>
      <c r="AK135" s="36">
        <f t="shared" si="126"/>
        <v>-0.166638459579142</v>
      </c>
      <c r="AL135" s="35">
        <f>班线包车!AL29</f>
        <v>4060.267</v>
      </c>
      <c r="AM135" s="36">
        <f t="shared" si="127"/>
        <v>-0.0869129109602758</v>
      </c>
      <c r="AN135" s="35">
        <f>班线包车!AN29</f>
        <v>3956.287441</v>
      </c>
      <c r="AO135" s="36">
        <f t="shared" si="128"/>
        <v>-0.264870761275633</v>
      </c>
      <c r="AP135" s="35">
        <f>班线包车!AP29</f>
        <v>3699.532092</v>
      </c>
      <c r="AQ135" s="36">
        <f t="shared" si="129"/>
        <v>-0.220925584181761</v>
      </c>
      <c r="AR135" s="35">
        <f>班线包车!AR29</f>
        <v>3376.6286</v>
      </c>
      <c r="AS135" s="36">
        <f t="shared" si="130"/>
        <v>-0.173149634332527</v>
      </c>
      <c r="AT135" s="35">
        <f t="shared" si="131"/>
        <v>47220.831033</v>
      </c>
      <c r="AU135" s="36">
        <f t="shared" si="132"/>
        <v>-0.133684640600996</v>
      </c>
      <c r="AV135" s="37"/>
      <c r="AW135" s="35">
        <v>4215.9521</v>
      </c>
      <c r="AX135" s="36"/>
      <c r="AY135" s="35">
        <v>4255.7623</v>
      </c>
      <c r="AZ135" s="36"/>
      <c r="BA135" s="35">
        <v>4380.6747</v>
      </c>
      <c r="BB135" s="36"/>
      <c r="BC135" s="35">
        <v>4734.108</v>
      </c>
      <c r="BD135" s="36"/>
      <c r="BE135" s="35">
        <v>4780.9194</v>
      </c>
      <c r="BF135" s="36"/>
      <c r="BG135" s="35">
        <v>4349.5911</v>
      </c>
      <c r="BH135" s="36"/>
      <c r="BI135" s="35">
        <v>4529.3099</v>
      </c>
      <c r="BJ135" s="36"/>
      <c r="BK135" s="35">
        <v>4600.4986</v>
      </c>
      <c r="BL135" s="36"/>
      <c r="BM135" s="35">
        <v>4446.7467</v>
      </c>
      <c r="BN135" s="36"/>
      <c r="BO135" s="35">
        <v>5381.7577</v>
      </c>
      <c r="BP135" s="36"/>
      <c r="BQ135" s="35">
        <v>4748.6248</v>
      </c>
      <c r="BR135" s="36"/>
      <c r="BS135" s="35">
        <v>4083.7239</v>
      </c>
      <c r="BT135" s="36"/>
      <c r="BU135" s="35">
        <f t="shared" si="133"/>
        <v>54507.6692</v>
      </c>
      <c r="BV135" s="36"/>
      <c r="BW135" s="40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7"/>
    </row>
    <row r="136" ht="28.8" customHeight="1" spans="1:88">
      <c r="A136" s="45"/>
      <c r="B136" s="34" t="s">
        <v>302</v>
      </c>
      <c r="C136" s="35">
        <f>公交!C34-公交!C36</f>
        <v>83.2800000000002</v>
      </c>
      <c r="D136" s="36">
        <f t="shared" si="110"/>
        <v>29.8444444444414</v>
      </c>
      <c r="E136" s="35">
        <f>公交!E34-公交!E36</f>
        <v>81.8399999999997</v>
      </c>
      <c r="F136" s="36">
        <f t="shared" si="111"/>
        <v>31.9999999999996</v>
      </c>
      <c r="G136" s="35">
        <f>公交!G34-公交!G36</f>
        <v>82.2800000000002</v>
      </c>
      <c r="H136" s="36">
        <f t="shared" si="112"/>
        <v>0.237479320198533</v>
      </c>
      <c r="I136" s="35">
        <f>公交!I34-公交!I36</f>
        <v>81.3000000000002</v>
      </c>
      <c r="J136" s="36">
        <f t="shared" si="113"/>
        <v>0.237819732034111</v>
      </c>
      <c r="K136" s="35">
        <f>公交!K34-公交!K36</f>
        <v>78.6900000000001</v>
      </c>
      <c r="L136" s="36">
        <f t="shared" si="114"/>
        <v>0.20009150526155</v>
      </c>
      <c r="M136" s="35">
        <f>公交!M34-公交!M36</f>
        <v>78.5599999999999</v>
      </c>
      <c r="N136" s="36">
        <f t="shared" si="115"/>
        <v>0.18170878459687</v>
      </c>
      <c r="O136" s="35">
        <f>公交!O34-公交!O36</f>
        <v>77.4700000000003</v>
      </c>
      <c r="P136" s="36">
        <f t="shared" si="116"/>
        <v>0.227539217239742</v>
      </c>
      <c r="Q136" s="127"/>
      <c r="R136" s="127"/>
      <c r="S136" s="131">
        <f t="shared" si="117"/>
        <v>563.420000000001</v>
      </c>
      <c r="T136" s="132">
        <f t="shared" si="118"/>
        <v>0.416339869281046</v>
      </c>
      <c r="U136" s="35"/>
      <c r="V136" s="35">
        <f>公交!V34-公交!V36</f>
        <v>2.70000000000027</v>
      </c>
      <c r="W136" s="36">
        <f t="shared" si="119"/>
        <v>1.09302325581423</v>
      </c>
      <c r="X136" s="35">
        <f>公交!X34-公交!X36</f>
        <v>2.48000000000002</v>
      </c>
      <c r="Y136" s="36">
        <f t="shared" si="120"/>
        <v>1.06666666666622</v>
      </c>
      <c r="Z136" s="35">
        <f>公交!Z34-公交!Z36</f>
        <v>66.4899999999998</v>
      </c>
      <c r="AA136" s="36">
        <f t="shared" si="121"/>
        <v>33.8115183246099</v>
      </c>
      <c r="AB136" s="35">
        <f>公交!AB34-公交!AB36</f>
        <v>65.6799999999998</v>
      </c>
      <c r="AC136" s="36">
        <f t="shared" si="122"/>
        <v>27.5565217391337</v>
      </c>
      <c r="AD136" s="35">
        <f>公交!AD34-公交!AD36</f>
        <v>65.5700000000002</v>
      </c>
      <c r="AE136" s="36">
        <f t="shared" si="123"/>
        <v>23.5580524344563</v>
      </c>
      <c r="AF136" s="35">
        <f>公交!AF34-公交!AF36</f>
        <v>66.48</v>
      </c>
      <c r="AG136" s="36">
        <f t="shared" si="124"/>
        <v>23.7137546468397</v>
      </c>
      <c r="AH136" s="35">
        <f>公交!AH34-公交!AH36</f>
        <v>63.1100000000001</v>
      </c>
      <c r="AI136" s="36">
        <f t="shared" si="125"/>
        <v>26.320346320347</v>
      </c>
      <c r="AJ136" s="35">
        <f>公交!AJ34-公交!AJ36</f>
        <v>65.29</v>
      </c>
      <c r="AK136" s="36">
        <f t="shared" si="126"/>
        <v>23.9198473282409</v>
      </c>
      <c r="AL136" s="35">
        <f>公交!AL34-公交!AL36</f>
        <v>78.4000000000001</v>
      </c>
      <c r="AM136" s="36">
        <f t="shared" si="127"/>
        <v>29.9881422924932</v>
      </c>
      <c r="AN136" s="35">
        <f>公交!AN34-公交!AN36</f>
        <v>87.1700000000001</v>
      </c>
      <c r="AO136" s="36">
        <f t="shared" si="128"/>
        <v>33.0507812500007</v>
      </c>
      <c r="AP136" s="35">
        <f>公交!AP34-公交!AP36</f>
        <v>79.4900000000002</v>
      </c>
      <c r="AQ136" s="36">
        <f t="shared" si="129"/>
        <v>30.9236947791194</v>
      </c>
      <c r="AR136" s="35">
        <f>公交!AR34-公交!AR36</f>
        <v>87.3400000000001</v>
      </c>
      <c r="AS136" s="36">
        <f t="shared" si="130"/>
        <v>32.5923076923089</v>
      </c>
      <c r="AT136" s="35">
        <f t="shared" si="131"/>
        <v>730.200000000001</v>
      </c>
      <c r="AU136" s="36">
        <f t="shared" si="132"/>
        <v>25.8752300331252</v>
      </c>
      <c r="AV136" s="37"/>
      <c r="AW136" s="35">
        <v>1.28999999999996</v>
      </c>
      <c r="AX136" s="36"/>
      <c r="AY136" s="35">
        <v>1.20000000000027</v>
      </c>
      <c r="AZ136" s="36"/>
      <c r="BA136" s="35">
        <v>1.90999999999985</v>
      </c>
      <c r="BB136" s="36"/>
      <c r="BC136" s="35">
        <v>2.29999999999973</v>
      </c>
      <c r="BD136" s="36"/>
      <c r="BE136" s="35">
        <v>2.67000000000007</v>
      </c>
      <c r="BF136" s="36"/>
      <c r="BG136" s="35">
        <v>2.69000000000005</v>
      </c>
      <c r="BH136" s="36"/>
      <c r="BI136" s="35">
        <v>2.30999999999995</v>
      </c>
      <c r="BJ136" s="36"/>
      <c r="BK136" s="35">
        <v>2.62000000000035</v>
      </c>
      <c r="BL136" s="36"/>
      <c r="BM136" s="35">
        <v>2.52999999999975</v>
      </c>
      <c r="BN136" s="36"/>
      <c r="BO136" s="35">
        <v>2.55999999999995</v>
      </c>
      <c r="BP136" s="36"/>
      <c r="BQ136" s="35">
        <v>2.48999999999978</v>
      </c>
      <c r="BR136" s="36"/>
      <c r="BS136" s="35">
        <v>2.59999999999991</v>
      </c>
      <c r="BT136" s="36"/>
      <c r="BU136" s="35">
        <f t="shared" si="133"/>
        <v>27.1699999999996</v>
      </c>
      <c r="BV136" s="36"/>
      <c r="BW136" s="40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7"/>
    </row>
    <row r="137" ht="28.8" customHeight="1" spans="1:88">
      <c r="A137" s="45"/>
      <c r="B137" s="34" t="s">
        <v>303</v>
      </c>
      <c r="C137" s="35">
        <f>出租!C34-出租!C36</f>
        <v>271.46</v>
      </c>
      <c r="D137" s="36">
        <f t="shared" si="110"/>
        <v>-0.164558520296679</v>
      </c>
      <c r="E137" s="35">
        <f>出租!E34-出租!E36</f>
        <v>287.09</v>
      </c>
      <c r="F137" s="36">
        <f t="shared" si="111"/>
        <v>0.008394801545486</v>
      </c>
      <c r="G137" s="35">
        <f>出租!G34-出租!G36</f>
        <v>269.54</v>
      </c>
      <c r="H137" s="36">
        <f t="shared" si="112"/>
        <v>-0.0594926550123869</v>
      </c>
      <c r="I137" s="35">
        <f>出租!I34-出租!I36</f>
        <v>253.35</v>
      </c>
      <c r="J137" s="36">
        <f t="shared" si="113"/>
        <v>-0.0758708736093386</v>
      </c>
      <c r="K137" s="35">
        <f>出租!K34-出租!K36</f>
        <v>263.01</v>
      </c>
      <c r="L137" s="36">
        <f t="shared" si="114"/>
        <v>-0.0130956848030019</v>
      </c>
      <c r="M137" s="35">
        <f>出租!M34-出租!M36</f>
        <v>242.95</v>
      </c>
      <c r="N137" s="36">
        <f t="shared" si="115"/>
        <v>-0.0436545425917175</v>
      </c>
      <c r="O137" s="35">
        <f>出租!O34-出租!O36</f>
        <v>250.41</v>
      </c>
      <c r="P137" s="36">
        <f t="shared" si="116"/>
        <v>-0.0704554734771159</v>
      </c>
      <c r="Q137" s="127"/>
      <c r="R137" s="127"/>
      <c r="S137" s="131">
        <f t="shared" si="117"/>
        <v>1837.81</v>
      </c>
      <c r="T137" s="132">
        <f t="shared" si="118"/>
        <v>-0.178991994567743</v>
      </c>
      <c r="U137" s="35"/>
      <c r="V137" s="35">
        <f>出租!V34-出租!V36</f>
        <v>324.93</v>
      </c>
      <c r="W137" s="36">
        <f t="shared" si="119"/>
        <v>0.170244183533818</v>
      </c>
      <c r="X137" s="35">
        <f>出租!X34-出租!X36</f>
        <v>284.7</v>
      </c>
      <c r="Y137" s="36">
        <f t="shared" si="120"/>
        <v>0.0742180130551262</v>
      </c>
      <c r="Z137" s="35">
        <f>出租!Z34-出租!Z36</f>
        <v>286.59</v>
      </c>
      <c r="AA137" s="36">
        <f t="shared" si="121"/>
        <v>0.00279925819657745</v>
      </c>
      <c r="AB137" s="35">
        <f>出租!AB34-出租!AB36</f>
        <v>274.15</v>
      </c>
      <c r="AC137" s="36">
        <f t="shared" si="122"/>
        <v>0.18602638979018</v>
      </c>
      <c r="AD137" s="35">
        <f>出租!AD34-出租!AD36</f>
        <v>266.5</v>
      </c>
      <c r="AE137" s="36">
        <f t="shared" si="123"/>
        <v>0.0644671672791179</v>
      </c>
      <c r="AF137" s="35">
        <f>出租!AF34-出租!AF36</f>
        <v>254.04</v>
      </c>
      <c r="AG137" s="36">
        <f t="shared" si="124"/>
        <v>-0.0777273552368852</v>
      </c>
      <c r="AH137" s="35">
        <f>出租!AH34-出租!AH36</f>
        <v>269.39</v>
      </c>
      <c r="AI137" s="36">
        <f t="shared" si="125"/>
        <v>-0.0666273993486242</v>
      </c>
      <c r="AJ137" s="35">
        <f>出租!AJ34-出租!AJ36</f>
        <v>278.18</v>
      </c>
      <c r="AK137" s="36">
        <f t="shared" si="126"/>
        <v>0.0116740008000875</v>
      </c>
      <c r="AL137" s="35">
        <f>出租!AL34-出租!AL36</f>
        <v>254.19</v>
      </c>
      <c r="AM137" s="36">
        <f t="shared" si="127"/>
        <v>-0.0594264569842736</v>
      </c>
      <c r="AN137" s="35">
        <f>出租!AN34-出租!AN36</f>
        <v>281.83</v>
      </c>
      <c r="AO137" s="36">
        <f t="shared" si="128"/>
        <v>-0.00575037042263482</v>
      </c>
      <c r="AP137" s="35">
        <f>出租!AP34-出租!AP36</f>
        <v>265.57</v>
      </c>
      <c r="AQ137" s="36">
        <f t="shared" si="129"/>
        <v>-0.00762303351892712</v>
      </c>
      <c r="AR137" s="35">
        <f>出租!AR34-出租!AR36</f>
        <v>281.75</v>
      </c>
      <c r="AS137" s="36">
        <f t="shared" si="130"/>
        <v>-0.0167510033153028</v>
      </c>
      <c r="AT137" s="35">
        <f t="shared" si="131"/>
        <v>3321.82</v>
      </c>
      <c r="AU137" s="36">
        <f t="shared" si="132"/>
        <v>0.0199330651846845</v>
      </c>
      <c r="AV137" s="37"/>
      <c r="AW137" s="35">
        <v>277.66</v>
      </c>
      <c r="AX137" s="36"/>
      <c r="AY137" s="35">
        <v>265.03</v>
      </c>
      <c r="AZ137" s="36"/>
      <c r="BA137" s="35">
        <v>285.79</v>
      </c>
      <c r="BB137" s="36"/>
      <c r="BC137" s="35">
        <v>231.15</v>
      </c>
      <c r="BD137" s="36"/>
      <c r="BE137" s="35">
        <v>250.36</v>
      </c>
      <c r="BF137" s="36"/>
      <c r="BG137" s="35">
        <v>275.45</v>
      </c>
      <c r="BH137" s="36"/>
      <c r="BI137" s="35">
        <v>288.62</v>
      </c>
      <c r="BJ137" s="36"/>
      <c r="BK137" s="35">
        <v>274.97</v>
      </c>
      <c r="BL137" s="36"/>
      <c r="BM137" s="35">
        <v>270.25</v>
      </c>
      <c r="BN137" s="36"/>
      <c r="BO137" s="35">
        <v>283.46</v>
      </c>
      <c r="BP137" s="36"/>
      <c r="BQ137" s="35">
        <v>267.61</v>
      </c>
      <c r="BR137" s="36"/>
      <c r="BS137" s="35">
        <v>286.55</v>
      </c>
      <c r="BT137" s="36"/>
      <c r="BU137" s="35">
        <f t="shared" si="133"/>
        <v>3256.9</v>
      </c>
      <c r="BV137" s="36"/>
      <c r="BW137" s="40"/>
      <c r="BX137" s="49"/>
      <c r="BY137" s="49"/>
      <c r="BZ137" s="49"/>
      <c r="CA137" s="49"/>
      <c r="CB137" s="49"/>
      <c r="CC137" s="49"/>
      <c r="CD137" s="50"/>
      <c r="CE137" s="49"/>
      <c r="CF137" s="50"/>
      <c r="CG137" s="50"/>
      <c r="CH137" s="50"/>
      <c r="CI137" s="50"/>
      <c r="CJ137" s="47"/>
    </row>
    <row r="138" ht="28.8" customHeight="1" spans="1:88">
      <c r="A138" s="29"/>
      <c r="B138" s="34" t="s">
        <v>304</v>
      </c>
      <c r="C138" s="35">
        <f>网约车!C34-网约车!C36</f>
        <v>202.011308669887</v>
      </c>
      <c r="D138" s="36">
        <f t="shared" si="110"/>
        <v>2.00535409437813</v>
      </c>
      <c r="E138" s="35">
        <f>网约车!E34-网约车!E36</f>
        <v>165.366786233547</v>
      </c>
      <c r="F138" s="36">
        <f t="shared" si="111"/>
        <v>1.36806498412425</v>
      </c>
      <c r="G138" s="35">
        <f>网约车!G34-网约车!G36</f>
        <v>180.737953165373</v>
      </c>
      <c r="H138" s="36">
        <f t="shared" si="112"/>
        <v>1.16377023265062</v>
      </c>
      <c r="I138" s="35">
        <f>网约车!I34-网约车!I36</f>
        <v>179.86730493484</v>
      </c>
      <c r="J138" s="36">
        <f t="shared" si="113"/>
        <v>0.953546365804634</v>
      </c>
      <c r="K138" s="35">
        <f>网约车!K34-网约车!K36</f>
        <v>185.630125353162</v>
      </c>
      <c r="L138" s="36">
        <f t="shared" si="114"/>
        <v>0.850996852499575</v>
      </c>
      <c r="M138" s="35">
        <f>网约车!M34-网约车!M36</f>
        <v>187.930762093451</v>
      </c>
      <c r="N138" s="36">
        <f t="shared" si="115"/>
        <v>0.983074713360047</v>
      </c>
      <c r="O138" s="35">
        <f>网约车!O34-网约车!O36</f>
        <v>203.487294863659</v>
      </c>
      <c r="P138" s="36">
        <f t="shared" si="116"/>
        <v>0.829546820100034</v>
      </c>
      <c r="Q138" s="127"/>
      <c r="R138" s="127"/>
      <c r="S138" s="131">
        <f t="shared" si="117"/>
        <v>1305.03153531392</v>
      </c>
      <c r="T138" s="132">
        <f t="shared" si="118"/>
        <v>0.765393221806416</v>
      </c>
      <c r="U138" s="35"/>
      <c r="V138" s="35">
        <f>网约车!V34-网约车!V36</f>
        <v>67.217140585122</v>
      </c>
      <c r="W138" s="36">
        <f t="shared" si="119"/>
        <v>-0.413454670653098</v>
      </c>
      <c r="X138" s="35">
        <f>网约车!X34-网约车!X36</f>
        <v>69.832030515287</v>
      </c>
      <c r="Y138" s="36">
        <f t="shared" si="120"/>
        <v>0.254437477817623</v>
      </c>
      <c r="Z138" s="35">
        <f>网约车!Z34-网约车!Z36</f>
        <v>83.529179964718</v>
      </c>
      <c r="AA138" s="36">
        <f t="shared" si="121"/>
        <v>-0.0925503271925666</v>
      </c>
      <c r="AB138" s="35">
        <f>网约车!AB34-网约车!AB36</f>
        <v>92.072196536147</v>
      </c>
      <c r="AC138" s="36">
        <f t="shared" si="122"/>
        <v>-0.108342144307765</v>
      </c>
      <c r="AD138" s="35">
        <f>网约车!AD34-网约车!AD36</f>
        <v>100.286569964983</v>
      </c>
      <c r="AE138" s="36">
        <f t="shared" si="123"/>
        <v>-0.0182832122959626</v>
      </c>
      <c r="AF138" s="35">
        <f>网约车!AF34-网约车!AF36</f>
        <v>94.767363441909</v>
      </c>
      <c r="AG138" s="36">
        <f t="shared" si="124"/>
        <v>0.0908153020225333</v>
      </c>
      <c r="AH138" s="35">
        <f>网约车!AH34-网约车!AH36</f>
        <v>111.222786226664</v>
      </c>
      <c r="AI138" s="36">
        <f t="shared" si="125"/>
        <v>0.0246218219120495</v>
      </c>
      <c r="AJ138" s="35">
        <f>网约车!AJ34-网约车!AJ36</f>
        <v>120.302678362538</v>
      </c>
      <c r="AK138" s="36">
        <f t="shared" si="126"/>
        <v>0.124651896556242</v>
      </c>
      <c r="AL138" s="35">
        <f>网约车!AL34-网约车!AL36</f>
        <v>111.301702215198</v>
      </c>
      <c r="AM138" s="36">
        <f t="shared" si="127"/>
        <v>0.0435477136621254</v>
      </c>
      <c r="AN138" s="35">
        <f>网约车!AN34-网约车!AN36</f>
        <v>184.673414752227</v>
      </c>
      <c r="AO138" s="36">
        <f t="shared" si="128"/>
        <v>0.603882852196308</v>
      </c>
      <c r="AP138" s="35">
        <f>网约车!AP34-网约车!AP36</f>
        <v>206.403570101442</v>
      </c>
      <c r="AQ138" s="36">
        <f t="shared" si="129"/>
        <v>0.687821412642033</v>
      </c>
      <c r="AR138" s="35">
        <f>网约车!AR34-网约车!AR36</f>
        <v>191.167445195341</v>
      </c>
      <c r="AS138" s="36">
        <f t="shared" si="130"/>
        <v>0.398318864656248</v>
      </c>
      <c r="AT138" s="35">
        <f t="shared" si="131"/>
        <v>1432.77607786158</v>
      </c>
      <c r="AU138" s="36">
        <f t="shared" si="132"/>
        <v>0.145372634554932</v>
      </c>
      <c r="AV138" s="37"/>
      <c r="AW138" s="35">
        <v>114.598373257811</v>
      </c>
      <c r="AX138" s="36"/>
      <c r="AY138" s="35">
        <v>55.6680039859584</v>
      </c>
      <c r="AZ138" s="36"/>
      <c r="BA138" s="35">
        <v>92.0482782326634</v>
      </c>
      <c r="BB138" s="36"/>
      <c r="BC138" s="35">
        <v>103.259558527264</v>
      </c>
      <c r="BD138" s="36"/>
      <c r="BE138" s="35">
        <v>102.154278322494</v>
      </c>
      <c r="BF138" s="36"/>
      <c r="BG138" s="35">
        <v>86.8775522915715</v>
      </c>
      <c r="BH138" s="36"/>
      <c r="BI138" s="35">
        <v>108.550085356479</v>
      </c>
      <c r="BJ138" s="36"/>
      <c r="BK138" s="35">
        <v>106.968812955291</v>
      </c>
      <c r="BL138" s="36"/>
      <c r="BM138" s="35">
        <v>106.657032312022</v>
      </c>
      <c r="BN138" s="36"/>
      <c r="BO138" s="35">
        <v>115.141460923621</v>
      </c>
      <c r="BP138" s="36"/>
      <c r="BQ138" s="35">
        <v>122.289934560285</v>
      </c>
      <c r="BR138" s="36"/>
      <c r="BS138" s="35">
        <v>136.712340816725</v>
      </c>
      <c r="BT138" s="36"/>
      <c r="BU138" s="35">
        <f t="shared" si="133"/>
        <v>1250.92571154219</v>
      </c>
      <c r="BV138" s="36"/>
      <c r="BW138" s="40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7"/>
    </row>
    <row r="139" s="15" customFormat="1" ht="28.8" customHeight="1" spans="1:88">
      <c r="A139" s="48" t="s">
        <v>100</v>
      </c>
      <c r="B139" s="34" t="s">
        <v>300</v>
      </c>
      <c r="C139" s="35">
        <f>C140+C141+C142+C143</f>
        <v>7249.6040517983</v>
      </c>
      <c r="D139" s="36">
        <f t="shared" si="110"/>
        <v>0.0749694969423671</v>
      </c>
      <c r="E139" s="35">
        <f>E140+E141+E142+E143</f>
        <v>7308.98776331239</v>
      </c>
      <c r="F139" s="36">
        <f t="shared" si="111"/>
        <v>0.0854477105738243</v>
      </c>
      <c r="G139" s="35">
        <f>G140+G141+G142+G143</f>
        <v>7667.83363128615</v>
      </c>
      <c r="H139" s="36">
        <f t="shared" si="112"/>
        <v>0.0302509879479249</v>
      </c>
      <c r="I139" s="35">
        <f>I140+I141+I142+I143</f>
        <v>8179.83692478876</v>
      </c>
      <c r="J139" s="36">
        <f t="shared" si="113"/>
        <v>0.0251243964002112</v>
      </c>
      <c r="K139" s="35">
        <f>K140+K141+K142+K143</f>
        <v>8473.86433349717</v>
      </c>
      <c r="L139" s="36">
        <f t="shared" si="114"/>
        <v>-0.14645958688382</v>
      </c>
      <c r="M139" s="35">
        <f>M140+M141+M142+M143</f>
        <v>9044.94766856313</v>
      </c>
      <c r="N139" s="36">
        <f t="shared" si="115"/>
        <v>0.0700374257926135</v>
      </c>
      <c r="O139" s="35">
        <f>O140+O141+O142+O143</f>
        <v>8358.7056873601</v>
      </c>
      <c r="P139" s="36">
        <f t="shared" si="116"/>
        <v>0.0528320568820211</v>
      </c>
      <c r="Q139" s="127"/>
      <c r="R139" s="127"/>
      <c r="S139" s="131">
        <f t="shared" si="117"/>
        <v>56283.780060606</v>
      </c>
      <c r="T139" s="132">
        <f t="shared" si="118"/>
        <v>-0.103804446070009</v>
      </c>
      <c r="U139" s="35"/>
      <c r="V139" s="35">
        <f>V140+V141+V142+V143</f>
        <v>6744.00908343818</v>
      </c>
      <c r="W139" s="36">
        <f t="shared" si="119"/>
        <v>-0.0381188144830993</v>
      </c>
      <c r="X139" s="35">
        <f>X140+X141+X142+X143</f>
        <v>6733.6157164572</v>
      </c>
      <c r="Y139" s="36">
        <f t="shared" si="120"/>
        <v>0.00910252777602016</v>
      </c>
      <c r="Z139" s="35">
        <f>Z140+Z141+Z142+Z143</f>
        <v>7442.68505537578</v>
      </c>
      <c r="AA139" s="36">
        <f t="shared" si="121"/>
        <v>-0.0224555455194824</v>
      </c>
      <c r="AB139" s="35">
        <f>AB140+AB141+AB142+AB143</f>
        <v>7979.36031325834</v>
      </c>
      <c r="AC139" s="36">
        <f t="shared" si="122"/>
        <v>-0.0678548245293608</v>
      </c>
      <c r="AD139" s="35">
        <f>AD140+AD141+AD142+AD143</f>
        <v>9927.90054610308</v>
      </c>
      <c r="AE139" s="36">
        <f t="shared" si="123"/>
        <v>0.201332306483649</v>
      </c>
      <c r="AF139" s="35">
        <f>AF140+AF141+AF142+AF143</f>
        <v>8452.92645896308</v>
      </c>
      <c r="AG139" s="36">
        <f t="shared" si="124"/>
        <v>0.14630223608763</v>
      </c>
      <c r="AH139" s="35">
        <f>AH140+AH141+AH142+AH143</f>
        <v>7939.25833918331</v>
      </c>
      <c r="AI139" s="36">
        <f t="shared" si="125"/>
        <v>0.0930885406764106</v>
      </c>
      <c r="AJ139" s="35">
        <f>AJ140+AJ141+AJ142+AJ143</f>
        <v>7583.25641223087</v>
      </c>
      <c r="AK139" s="36">
        <f t="shared" si="126"/>
        <v>0.119526609462344</v>
      </c>
      <c r="AL139" s="35">
        <f>AL140+AL141+AL142+AL143</f>
        <v>7752.58267333206</v>
      </c>
      <c r="AM139" s="36">
        <f t="shared" si="127"/>
        <v>0.1225083946196</v>
      </c>
      <c r="AN139" s="35">
        <f>AN140+AN141+AN142+AN143</f>
        <v>8340.69746300579</v>
      </c>
      <c r="AO139" s="36">
        <f t="shared" si="128"/>
        <v>0.0336528478648008</v>
      </c>
      <c r="AP139" s="35">
        <f>AP140+AP141+AP142+AP143</f>
        <v>8788.63573447539</v>
      </c>
      <c r="AQ139" s="36">
        <f t="shared" si="129"/>
        <v>0.120720847489762</v>
      </c>
      <c r="AR139" s="35">
        <f>AR140+AR141+AR142+AR143</f>
        <v>7580.38412118249</v>
      </c>
      <c r="AS139" s="36">
        <f t="shared" si="130"/>
        <v>0.115982728413843</v>
      </c>
      <c r="AT139" s="35">
        <f t="shared" si="131"/>
        <v>95265.3119170056</v>
      </c>
      <c r="AU139" s="36">
        <f t="shared" si="132"/>
        <v>0.0686786998937348</v>
      </c>
      <c r="AV139" s="37"/>
      <c r="AW139" s="38">
        <f>AW140+AW141+AW142+AW143</f>
        <v>7011.27039907122</v>
      </c>
      <c r="AX139" s="37"/>
      <c r="AY139" s="38">
        <f>AY140+AY141+AY142+AY143</f>
        <v>6672.87568023196</v>
      </c>
      <c r="AZ139" s="37"/>
      <c r="BA139" s="38">
        <f>BA140+BA141+BA142+BA143</f>
        <v>7613.6538049627</v>
      </c>
      <c r="BB139" s="37"/>
      <c r="BC139" s="38">
        <f>BC140+BC141+BC142+BC143</f>
        <v>8560.21199619423</v>
      </c>
      <c r="BD139" s="37"/>
      <c r="BE139" s="38">
        <f>BE140+BE141+BE142+BE143</f>
        <v>8264.07522092073</v>
      </c>
      <c r="BF139" s="37"/>
      <c r="BG139" s="38">
        <f>BG140+BG141+BG142+BG143</f>
        <v>7374.08180220708</v>
      </c>
      <c r="BH139" s="37"/>
      <c r="BI139" s="38">
        <f>BI140+BI141+BI142+BI143</f>
        <v>7263.14296028613</v>
      </c>
      <c r="BJ139" s="37"/>
      <c r="BK139" s="38">
        <f>BK140+BK141+BK142+BK143</f>
        <v>6773.62766381475</v>
      </c>
      <c r="BL139" s="37"/>
      <c r="BM139" s="38">
        <f>BM140+BM141+BM142+BM143</f>
        <v>6906.48079826547</v>
      </c>
      <c r="BN139" s="37"/>
      <c r="BO139" s="38">
        <f>BO140+BO141+BO142+BO143</f>
        <v>8069.14766426177</v>
      </c>
      <c r="BP139" s="37"/>
      <c r="BQ139" s="38">
        <f>BQ140+BQ141+BQ142+BQ143</f>
        <v>7841.9490046612</v>
      </c>
      <c r="BR139" s="37"/>
      <c r="BS139" s="38">
        <f>BS140+BS141+BS142+BS143</f>
        <v>6792.56401392212</v>
      </c>
      <c r="BT139" s="37"/>
      <c r="BU139" s="38">
        <f t="shared" si="133"/>
        <v>89143.0810087994</v>
      </c>
      <c r="BV139" s="37"/>
      <c r="BW139" s="39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</row>
    <row r="140" ht="28.8" customHeight="1" spans="1:88">
      <c r="A140" s="45"/>
      <c r="B140" s="34" t="s">
        <v>301</v>
      </c>
      <c r="C140" s="35">
        <f>班线包车!C33</f>
        <v>2820.2439</v>
      </c>
      <c r="D140" s="36">
        <f t="shared" si="110"/>
        <v>-0.0637120114872203</v>
      </c>
      <c r="E140" s="35">
        <f>班线包车!E33</f>
        <v>2880.7429</v>
      </c>
      <c r="F140" s="36">
        <f t="shared" si="111"/>
        <v>-0.0501748455774035</v>
      </c>
      <c r="G140" s="35">
        <f>班线包车!G33</f>
        <v>3223.1066</v>
      </c>
      <c r="H140" s="36">
        <f t="shared" si="112"/>
        <v>-0.132084155701053</v>
      </c>
      <c r="I140" s="35">
        <f>班线包车!I33</f>
        <v>3740.0259</v>
      </c>
      <c r="J140" s="36">
        <f t="shared" si="113"/>
        <v>-0.122717918350702</v>
      </c>
      <c r="K140" s="35">
        <f>班线包车!K33</f>
        <v>3834.7599</v>
      </c>
      <c r="L140" s="36">
        <f t="shared" si="114"/>
        <v>-0.213665149003482</v>
      </c>
      <c r="M140" s="35">
        <f>班线包车!M33</f>
        <v>4215.6505</v>
      </c>
      <c r="N140" s="36">
        <f t="shared" si="115"/>
        <v>0.0924055557055636</v>
      </c>
      <c r="O140" s="35">
        <f>班线包车!O33</f>
        <v>3538.2242</v>
      </c>
      <c r="P140" s="36">
        <f t="shared" si="116"/>
        <v>-0.0089619122092246</v>
      </c>
      <c r="Q140" s="127"/>
      <c r="R140" s="127"/>
      <c r="S140" s="131">
        <f t="shared" si="117"/>
        <v>24252.7539</v>
      </c>
      <c r="T140" s="132">
        <f t="shared" si="118"/>
        <v>-0.184396994258577</v>
      </c>
      <c r="U140" s="35"/>
      <c r="V140" s="35">
        <f>班线包车!V33</f>
        <v>3012.15431</v>
      </c>
      <c r="W140" s="36">
        <f t="shared" si="119"/>
        <v>-0.0616477642925111</v>
      </c>
      <c r="X140" s="35">
        <f>班线包车!X33</f>
        <v>3032.91915</v>
      </c>
      <c r="Y140" s="36">
        <f t="shared" si="120"/>
        <v>-0.0778028153031528</v>
      </c>
      <c r="Z140" s="35">
        <f>班线包车!Z33</f>
        <v>3713.6165</v>
      </c>
      <c r="AA140" s="36">
        <f t="shared" si="121"/>
        <v>-0.0767689692729214</v>
      </c>
      <c r="AB140" s="35">
        <f>班线包车!AB33</f>
        <v>4263.1965</v>
      </c>
      <c r="AC140" s="36">
        <f t="shared" si="122"/>
        <v>-0.150641720073858</v>
      </c>
      <c r="AD140" s="35">
        <f>班线包车!AD33</f>
        <v>4876.7518</v>
      </c>
      <c r="AE140" s="36">
        <f t="shared" si="123"/>
        <v>0.0652863039848803</v>
      </c>
      <c r="AF140" s="35">
        <f>班线包车!AF33</f>
        <v>3859.0526</v>
      </c>
      <c r="AG140" s="36">
        <f t="shared" si="124"/>
        <v>0.0251967831628375</v>
      </c>
      <c r="AH140" s="35">
        <f>班线包车!AH33</f>
        <v>3570.2202</v>
      </c>
      <c r="AI140" s="36">
        <f t="shared" si="125"/>
        <v>-0.0367772457327007</v>
      </c>
      <c r="AJ140" s="35">
        <f>班线包车!AJ33</f>
        <v>3408.068</v>
      </c>
      <c r="AK140" s="36">
        <f t="shared" si="126"/>
        <v>-0.00891138969283167</v>
      </c>
      <c r="AL140" s="35">
        <f>班线包车!AL33</f>
        <v>3530.7566</v>
      </c>
      <c r="AM140" s="36">
        <f t="shared" si="127"/>
        <v>0.0204612392363326</v>
      </c>
      <c r="AN140" s="35">
        <f>班线包车!AN33</f>
        <v>3837.5662</v>
      </c>
      <c r="AO140" s="36">
        <f t="shared" si="128"/>
        <v>-0.114907271443536</v>
      </c>
      <c r="AP140" s="35">
        <f>班线包车!AP33</f>
        <v>4288.0104</v>
      </c>
      <c r="AQ140" s="36">
        <f t="shared" si="129"/>
        <v>-0.00795569940677154</v>
      </c>
      <c r="AR140" s="35">
        <f>班线包车!AR33</f>
        <v>3095.6344</v>
      </c>
      <c r="AS140" s="36">
        <f t="shared" si="130"/>
        <v>-0.0559796101668488</v>
      </c>
      <c r="AT140" s="35">
        <f t="shared" si="131"/>
        <v>44487.94666</v>
      </c>
      <c r="AU140" s="36">
        <f t="shared" si="132"/>
        <v>-0.0417294361778934</v>
      </c>
      <c r="AV140" s="37"/>
      <c r="AW140" s="35">
        <v>3210.0465</v>
      </c>
      <c r="AX140" s="36"/>
      <c r="AY140" s="35">
        <v>3288.7968</v>
      </c>
      <c r="AZ140" s="36"/>
      <c r="BA140" s="35">
        <v>4022.413</v>
      </c>
      <c r="BB140" s="36"/>
      <c r="BC140" s="35">
        <v>5019.3147</v>
      </c>
      <c r="BD140" s="36"/>
      <c r="BE140" s="35">
        <v>4577.879</v>
      </c>
      <c r="BF140" s="36"/>
      <c r="BG140" s="35">
        <v>3764.2067</v>
      </c>
      <c r="BH140" s="36"/>
      <c r="BI140" s="35">
        <v>3706.5364</v>
      </c>
      <c r="BJ140" s="36"/>
      <c r="BK140" s="35">
        <v>3438.7117</v>
      </c>
      <c r="BL140" s="36"/>
      <c r="BM140" s="35">
        <v>3459.9615</v>
      </c>
      <c r="BN140" s="36"/>
      <c r="BO140" s="35">
        <v>4335.7787</v>
      </c>
      <c r="BP140" s="36"/>
      <c r="BQ140" s="35">
        <v>4322.3981</v>
      </c>
      <c r="BR140" s="36"/>
      <c r="BS140" s="35">
        <v>3279.2029</v>
      </c>
      <c r="BT140" s="36"/>
      <c r="BU140" s="35">
        <f t="shared" si="133"/>
        <v>46425.246</v>
      </c>
      <c r="BV140" s="36"/>
      <c r="BW140" s="4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47"/>
    </row>
    <row r="141" ht="28.8" customHeight="1" spans="1:88">
      <c r="A141" s="45"/>
      <c r="B141" s="34" t="s">
        <v>302</v>
      </c>
      <c r="C141" s="35">
        <f>公交!C38-公交!C40</f>
        <v>2885.33</v>
      </c>
      <c r="D141" s="36">
        <f t="shared" si="110"/>
        <v>0.142736630322425</v>
      </c>
      <c r="E141" s="35">
        <f>公交!E38-公交!E40</f>
        <v>2972.9</v>
      </c>
      <c r="F141" s="36">
        <f t="shared" si="111"/>
        <v>0.183083682208179</v>
      </c>
      <c r="G141" s="35">
        <f>公交!G38-公交!G40</f>
        <v>2951.58</v>
      </c>
      <c r="H141" s="36">
        <f t="shared" si="112"/>
        <v>0.144058730503271</v>
      </c>
      <c r="I141" s="35">
        <f>公交!I38-公交!I40</f>
        <v>2954.95</v>
      </c>
      <c r="J141" s="36">
        <f t="shared" si="113"/>
        <v>0.15354286138123</v>
      </c>
      <c r="K141" s="35">
        <f>公交!K38-公交!K40</f>
        <v>3065.71</v>
      </c>
      <c r="L141" s="36">
        <f t="shared" si="114"/>
        <v>-0.0992451865585031</v>
      </c>
      <c r="M141" s="35">
        <f>公交!M38-公交!M40</f>
        <v>3184.74</v>
      </c>
      <c r="N141" s="36">
        <f t="shared" si="115"/>
        <v>0.0170469061366305</v>
      </c>
      <c r="O141" s="35">
        <f>公交!O38-公交!O40</f>
        <v>3205.62</v>
      </c>
      <c r="P141" s="36">
        <f t="shared" si="116"/>
        <v>0.0843865014072309</v>
      </c>
      <c r="Q141" s="127"/>
      <c r="R141" s="127"/>
      <c r="S141" s="131">
        <f t="shared" si="117"/>
        <v>21220.83</v>
      </c>
      <c r="T141" s="132">
        <f t="shared" si="118"/>
        <v>-0.0559058078207268</v>
      </c>
      <c r="U141" s="35"/>
      <c r="V141" s="35">
        <f>公交!V38-公交!V40</f>
        <v>2524.93</v>
      </c>
      <c r="W141" s="36">
        <f t="shared" si="119"/>
        <v>0.0636613713818712</v>
      </c>
      <c r="X141" s="35">
        <f>公交!X38-公交!X40</f>
        <v>2512.84</v>
      </c>
      <c r="Y141" s="36">
        <f t="shared" si="120"/>
        <v>0.152129259435865</v>
      </c>
      <c r="Z141" s="35">
        <f>公交!Z38-公交!Z40</f>
        <v>2579.92</v>
      </c>
      <c r="AA141" s="36">
        <f t="shared" si="121"/>
        <v>0.0804363758192517</v>
      </c>
      <c r="AB141" s="35">
        <f>公交!AB38-公交!AB40</f>
        <v>2561.63</v>
      </c>
      <c r="AC141" s="36">
        <f t="shared" si="122"/>
        <v>0.0889570943346498</v>
      </c>
      <c r="AD141" s="35">
        <f>公交!AD38-公交!AD40</f>
        <v>3403.49</v>
      </c>
      <c r="AE141" s="36">
        <f t="shared" si="123"/>
        <v>0.409271780942167</v>
      </c>
      <c r="AF141" s="35">
        <f>公交!AF38-公交!AF40</f>
        <v>3131.36</v>
      </c>
      <c r="AG141" s="36">
        <f t="shared" si="124"/>
        <v>0.336406159308956</v>
      </c>
      <c r="AH141" s="35">
        <f>公交!AH38-公交!AH40</f>
        <v>2956.16</v>
      </c>
      <c r="AI141" s="36">
        <f t="shared" si="125"/>
        <v>0.273586572057575</v>
      </c>
      <c r="AJ141" s="35">
        <f>公交!AJ38-公交!AJ40</f>
        <v>2807.12</v>
      </c>
      <c r="AK141" s="36">
        <f t="shared" si="126"/>
        <v>0.295801174341741</v>
      </c>
      <c r="AL141" s="35">
        <f>公交!AL38-公交!AL40</f>
        <v>2860.73</v>
      </c>
      <c r="AM141" s="36">
        <f t="shared" si="127"/>
        <v>0.253502118579084</v>
      </c>
      <c r="AN141" s="35">
        <f>公交!AN38-公交!AN40</f>
        <v>2911.41</v>
      </c>
      <c r="AO141" s="36">
        <f t="shared" si="128"/>
        <v>0.161571791066214</v>
      </c>
      <c r="AP141" s="35">
        <f>公交!AP38-公交!AP40</f>
        <v>2952.38</v>
      </c>
      <c r="AQ141" s="36">
        <f t="shared" si="129"/>
        <v>0.25966600960841</v>
      </c>
      <c r="AR141" s="35">
        <f>公交!AR38-公交!AR40</f>
        <v>2873.04</v>
      </c>
      <c r="AS141" s="36">
        <f t="shared" si="130"/>
        <v>0.254810841973777</v>
      </c>
      <c r="AT141" s="35">
        <f t="shared" si="131"/>
        <v>34075.01</v>
      </c>
      <c r="AU141" s="36">
        <f t="shared" si="132"/>
        <v>0.218586232965725</v>
      </c>
      <c r="AV141" s="37"/>
      <c r="AW141" s="35">
        <v>2373.81</v>
      </c>
      <c r="AX141" s="36"/>
      <c r="AY141" s="35">
        <v>2181.04</v>
      </c>
      <c r="AZ141" s="36"/>
      <c r="BA141" s="35">
        <v>2387.85</v>
      </c>
      <c r="BB141" s="36"/>
      <c r="BC141" s="35">
        <v>2352.37</v>
      </c>
      <c r="BD141" s="36"/>
      <c r="BE141" s="35">
        <v>2415.07</v>
      </c>
      <c r="BF141" s="36"/>
      <c r="BG141" s="35">
        <v>2343.12</v>
      </c>
      <c r="BH141" s="36"/>
      <c r="BI141" s="35">
        <v>2321.13</v>
      </c>
      <c r="BJ141" s="36"/>
      <c r="BK141" s="35">
        <v>2166.32</v>
      </c>
      <c r="BL141" s="36"/>
      <c r="BM141" s="35">
        <v>2282.19</v>
      </c>
      <c r="BN141" s="36"/>
      <c r="BO141" s="35">
        <v>2506.44</v>
      </c>
      <c r="BP141" s="36"/>
      <c r="BQ141" s="35">
        <v>2343.78</v>
      </c>
      <c r="BR141" s="36"/>
      <c r="BS141" s="35">
        <v>2289.62</v>
      </c>
      <c r="BT141" s="36"/>
      <c r="BU141" s="35">
        <f t="shared" si="133"/>
        <v>27962.74</v>
      </c>
      <c r="BV141" s="36"/>
      <c r="BW141" s="40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7"/>
    </row>
    <row r="142" ht="28.8" customHeight="1" spans="1:88">
      <c r="A142" s="45"/>
      <c r="B142" s="34" t="s">
        <v>303</v>
      </c>
      <c r="C142" s="35">
        <f>出租!C38-出租!C40</f>
        <v>1121.76</v>
      </c>
      <c r="D142" s="36">
        <f t="shared" si="110"/>
        <v>0.0589434731714686</v>
      </c>
      <c r="E142" s="35">
        <f>出租!E38-出租!E40</f>
        <v>1124.15</v>
      </c>
      <c r="F142" s="36">
        <f t="shared" si="111"/>
        <v>0.0805602014725952</v>
      </c>
      <c r="G142" s="35">
        <f>出租!G38-出租!G40</f>
        <v>1060.44</v>
      </c>
      <c r="H142" s="36">
        <f t="shared" si="112"/>
        <v>0.0857710383241008</v>
      </c>
      <c r="I142" s="35">
        <f>出租!I38-出租!I40</f>
        <v>1044.19</v>
      </c>
      <c r="J142" s="36">
        <f t="shared" si="113"/>
        <v>0.0883214341549843</v>
      </c>
      <c r="K142" s="35">
        <f>出租!K38-出租!K40</f>
        <v>1088.57</v>
      </c>
      <c r="L142" s="36">
        <f t="shared" si="114"/>
        <v>-0.233309621574414</v>
      </c>
      <c r="M142" s="35">
        <f>出租!M38-出租!M40</f>
        <v>1162.59</v>
      </c>
      <c r="N142" s="36">
        <f t="shared" si="115"/>
        <v>-0.0623139895955154</v>
      </c>
      <c r="O142" s="35">
        <f>出租!O38-出租!O40</f>
        <v>1097.21</v>
      </c>
      <c r="P142" s="36">
        <f t="shared" si="116"/>
        <v>-0.062205659877435</v>
      </c>
      <c r="Q142" s="127"/>
      <c r="R142" s="127"/>
      <c r="S142" s="131">
        <f t="shared" si="117"/>
        <v>7698.91</v>
      </c>
      <c r="T142" s="132">
        <f t="shared" si="118"/>
        <v>-0.142593520653058</v>
      </c>
      <c r="U142" s="35"/>
      <c r="V142" s="35">
        <f>出租!V38-出租!V40</f>
        <v>1059.32</v>
      </c>
      <c r="W142" s="36">
        <f t="shared" si="119"/>
        <v>-0.124036648695135</v>
      </c>
      <c r="X142" s="35">
        <f>出租!X38-出租!X40</f>
        <v>1040.34</v>
      </c>
      <c r="Y142" s="36">
        <f t="shared" si="120"/>
        <v>-0.0309347491965906</v>
      </c>
      <c r="Z142" s="35">
        <f>出租!Z38-出租!Z40</f>
        <v>976.67</v>
      </c>
      <c r="AA142" s="36">
        <f t="shared" si="121"/>
        <v>-0.0575321579866637</v>
      </c>
      <c r="AB142" s="35">
        <f>出租!AB38-出租!AB40</f>
        <v>959.45</v>
      </c>
      <c r="AC142" s="36">
        <f t="shared" si="122"/>
        <v>-0.0435913794134649</v>
      </c>
      <c r="AD142" s="35">
        <f>出租!AD38-出租!AD40</f>
        <v>1419.83</v>
      </c>
      <c r="AE142" s="36">
        <f t="shared" si="123"/>
        <v>0.325073961045627</v>
      </c>
      <c r="AF142" s="35">
        <f>出租!AF38-出租!AF40</f>
        <v>1239.85</v>
      </c>
      <c r="AG142" s="36">
        <f t="shared" si="124"/>
        <v>0.139264350494813</v>
      </c>
      <c r="AH142" s="35">
        <f>出租!AH38-出租!AH40</f>
        <v>1169.99</v>
      </c>
      <c r="AI142" s="36">
        <f t="shared" si="125"/>
        <v>0.141264375664524</v>
      </c>
      <c r="AJ142" s="35">
        <f>出租!AJ38-出租!AJ40</f>
        <v>1113.85</v>
      </c>
      <c r="AK142" s="36">
        <f t="shared" si="126"/>
        <v>0.152111627137227</v>
      </c>
      <c r="AL142" s="35">
        <f>出租!AL38-出租!AL40</f>
        <v>1128.11</v>
      </c>
      <c r="AM142" s="36">
        <f t="shared" si="127"/>
        <v>0.206276732249786</v>
      </c>
      <c r="AN142" s="35">
        <f>出租!AN38-出租!AN40</f>
        <v>1205.67</v>
      </c>
      <c r="AO142" s="36">
        <f t="shared" si="128"/>
        <v>0.230250403052999</v>
      </c>
      <c r="AP142" s="35">
        <f>出租!AP38-出租!AP40</f>
        <v>1154.23</v>
      </c>
      <c r="AQ142" s="36">
        <f t="shared" si="129"/>
        <v>0.248882829659925</v>
      </c>
      <c r="AR142" s="35">
        <f>出租!AR38-出租!AR40</f>
        <v>1190.97</v>
      </c>
      <c r="AS142" s="36">
        <f t="shared" si="130"/>
        <v>0.27361486883896</v>
      </c>
      <c r="AT142" s="35">
        <f t="shared" si="131"/>
        <v>13658.28</v>
      </c>
      <c r="AU142" s="36">
        <f t="shared" si="132"/>
        <v>0.115085429892624</v>
      </c>
      <c r="AV142" s="37"/>
      <c r="AW142" s="35">
        <v>1209.32</v>
      </c>
      <c r="AX142" s="36"/>
      <c r="AY142" s="35">
        <v>1073.55</v>
      </c>
      <c r="AZ142" s="36"/>
      <c r="BA142" s="35">
        <v>1036.29</v>
      </c>
      <c r="BB142" s="36"/>
      <c r="BC142" s="35">
        <v>1003.18</v>
      </c>
      <c r="BD142" s="36"/>
      <c r="BE142" s="35">
        <v>1071.51</v>
      </c>
      <c r="BF142" s="36"/>
      <c r="BG142" s="35">
        <v>1088.29</v>
      </c>
      <c r="BH142" s="36"/>
      <c r="BI142" s="35">
        <v>1025.17</v>
      </c>
      <c r="BJ142" s="36"/>
      <c r="BK142" s="35">
        <v>966.79</v>
      </c>
      <c r="BL142" s="36"/>
      <c r="BM142" s="35">
        <v>935.2</v>
      </c>
      <c r="BN142" s="36"/>
      <c r="BO142" s="35">
        <v>980.02</v>
      </c>
      <c r="BP142" s="36"/>
      <c r="BQ142" s="35">
        <v>924.21</v>
      </c>
      <c r="BR142" s="36"/>
      <c r="BS142" s="35">
        <v>935.11</v>
      </c>
      <c r="BT142" s="36"/>
      <c r="BU142" s="35">
        <f t="shared" si="133"/>
        <v>12248.64</v>
      </c>
      <c r="BV142" s="36"/>
      <c r="BW142" s="40"/>
      <c r="BX142" s="49"/>
      <c r="BY142" s="49"/>
      <c r="BZ142" s="49"/>
      <c r="CA142" s="49"/>
      <c r="CB142" s="49"/>
      <c r="CC142" s="49"/>
      <c r="CD142" s="50"/>
      <c r="CE142" s="49"/>
      <c r="CF142" s="50"/>
      <c r="CG142" s="50"/>
      <c r="CH142" s="50"/>
      <c r="CI142" s="50"/>
      <c r="CJ142" s="47"/>
    </row>
    <row r="143" ht="28.8" customHeight="1" spans="1:88">
      <c r="A143" s="29"/>
      <c r="B143" s="34" t="s">
        <v>304</v>
      </c>
      <c r="C143" s="35">
        <f>网约车!C38-网约车!C40</f>
        <v>422.270151798297</v>
      </c>
      <c r="D143" s="36">
        <f t="shared" si="110"/>
        <v>1.86081636767084</v>
      </c>
      <c r="E143" s="35">
        <f>网约车!E38-网约车!E40</f>
        <v>331.194863312394</v>
      </c>
      <c r="F143" s="36">
        <f t="shared" si="111"/>
        <v>1.24513674136035</v>
      </c>
      <c r="G143" s="35">
        <f>网约车!G38-网约车!G40</f>
        <v>432.707031286153</v>
      </c>
      <c r="H143" s="36">
        <f t="shared" si="112"/>
        <v>1.50875843865583</v>
      </c>
      <c r="I143" s="35">
        <f>网约车!I38-网约车!I40</f>
        <v>440.671024788756</v>
      </c>
      <c r="J143" s="36">
        <f t="shared" si="113"/>
        <v>1.25888051616665</v>
      </c>
      <c r="K143" s="35">
        <f>网约车!K38-网约车!K40</f>
        <v>484.824433497168</v>
      </c>
      <c r="L143" s="36">
        <f t="shared" si="114"/>
        <v>1.12802133966809</v>
      </c>
      <c r="M143" s="35">
        <f>网约车!M38-网约车!M40</f>
        <v>481.967168563125</v>
      </c>
      <c r="N143" s="36">
        <f t="shared" si="115"/>
        <v>1.16455050589527</v>
      </c>
      <c r="O143" s="35">
        <f>网约车!O38-网约车!O40</f>
        <v>517.651487360105</v>
      </c>
      <c r="P143" s="36">
        <f t="shared" si="116"/>
        <v>1.13123411089836</v>
      </c>
      <c r="Q143" s="127"/>
      <c r="R143" s="127"/>
      <c r="S143" s="131">
        <f t="shared" si="117"/>
        <v>3111.286160606</v>
      </c>
      <c r="T143" s="132">
        <f t="shared" si="118"/>
        <v>0.932136414174036</v>
      </c>
      <c r="U143" s="35"/>
      <c r="V143" s="35">
        <f>网约车!V38-网约车!V40</f>
        <v>147.604773438182</v>
      </c>
      <c r="W143" s="36">
        <f t="shared" si="119"/>
        <v>-0.323205398836132</v>
      </c>
      <c r="X143" s="35">
        <f>网约车!X38-网约车!X40</f>
        <v>147.516566457204</v>
      </c>
      <c r="Y143" s="36">
        <f t="shared" si="120"/>
        <v>0.139221886797899</v>
      </c>
      <c r="Z143" s="35">
        <f>网约车!Z38-网约车!Z40</f>
        <v>172.478555375779</v>
      </c>
      <c r="AA143" s="36">
        <f t="shared" si="121"/>
        <v>0.0321826720959206</v>
      </c>
      <c r="AB143" s="35">
        <f>网约车!AB38-网约车!AB40</f>
        <v>195.083813258339</v>
      </c>
      <c r="AC143" s="36">
        <f t="shared" si="122"/>
        <v>0.0525312063571082</v>
      </c>
      <c r="AD143" s="35">
        <f>网约车!AD38-网约车!AD40</f>
        <v>227.828746103075</v>
      </c>
      <c r="AE143" s="36">
        <f t="shared" si="123"/>
        <v>0.141333830748875</v>
      </c>
      <c r="AF143" s="35">
        <f>网约车!AF38-网约车!AF40</f>
        <v>222.663858963079</v>
      </c>
      <c r="AG143" s="36">
        <f t="shared" si="124"/>
        <v>0.24766050174172</v>
      </c>
      <c r="AH143" s="35">
        <f>网约车!AH38-网约车!AH40</f>
        <v>242.888139183313</v>
      </c>
      <c r="AI143" s="36">
        <f t="shared" si="125"/>
        <v>0.154924215644306</v>
      </c>
      <c r="AJ143" s="35">
        <f>网约车!AJ38-网约车!AJ40</f>
        <v>254.218412230865</v>
      </c>
      <c r="AK143" s="36">
        <f t="shared" si="126"/>
        <v>0.259717044161428</v>
      </c>
      <c r="AL143" s="35">
        <f>网约车!AL38-网约车!AL40</f>
        <v>232.986073332064</v>
      </c>
      <c r="AM143" s="36">
        <f t="shared" si="127"/>
        <v>0.0168323086388089</v>
      </c>
      <c r="AN143" s="35">
        <f>网约车!AN38-网约车!AN40</f>
        <v>386.051263005785</v>
      </c>
      <c r="AO143" s="36">
        <f t="shared" si="128"/>
        <v>0.563536845087953</v>
      </c>
      <c r="AP143" s="35">
        <f>网约车!AP38-网约车!AP40</f>
        <v>394.015334475393</v>
      </c>
      <c r="AQ143" s="36">
        <f t="shared" si="129"/>
        <v>0.566282069966551</v>
      </c>
      <c r="AR143" s="35">
        <f>网约车!AR38-网约车!AR40</f>
        <v>420.739721182494</v>
      </c>
      <c r="AS143" s="36">
        <f t="shared" si="130"/>
        <v>0.457707436544851</v>
      </c>
      <c r="AT143" s="35">
        <f t="shared" si="131"/>
        <v>3044.07525700557</v>
      </c>
      <c r="AU143" s="36">
        <f t="shared" si="132"/>
        <v>0.214494274311246</v>
      </c>
      <c r="AV143" s="37"/>
      <c r="AW143" s="35">
        <v>218.093899071224</v>
      </c>
      <c r="AX143" s="36"/>
      <c r="AY143" s="35">
        <v>129.488880231963</v>
      </c>
      <c r="AZ143" s="36"/>
      <c r="BA143" s="35">
        <v>167.1008049627</v>
      </c>
      <c r="BB143" s="36"/>
      <c r="BC143" s="35">
        <v>185.347296194228</v>
      </c>
      <c r="BD143" s="36"/>
      <c r="BE143" s="35">
        <v>199.616220920734</v>
      </c>
      <c r="BF143" s="36"/>
      <c r="BG143" s="35">
        <v>178.465102207085</v>
      </c>
      <c r="BH143" s="36"/>
      <c r="BI143" s="35">
        <v>210.306560286132</v>
      </c>
      <c r="BJ143" s="36"/>
      <c r="BK143" s="35">
        <v>201.80596381475</v>
      </c>
      <c r="BL143" s="36"/>
      <c r="BM143" s="35">
        <v>229.129298265466</v>
      </c>
      <c r="BN143" s="36"/>
      <c r="BO143" s="35">
        <v>246.908964261772</v>
      </c>
      <c r="BP143" s="36"/>
      <c r="BQ143" s="35">
        <v>251.560904661194</v>
      </c>
      <c r="BR143" s="36"/>
      <c r="BS143" s="35">
        <v>288.631113922117</v>
      </c>
      <c r="BT143" s="36"/>
      <c r="BU143" s="35">
        <f t="shared" si="133"/>
        <v>2506.45500879937</v>
      </c>
      <c r="BV143" s="36"/>
      <c r="BW143" s="40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7"/>
    </row>
    <row r="144" s="15" customFormat="1" ht="28.8" customHeight="1" spans="1:88">
      <c r="A144" s="48" t="s">
        <v>101</v>
      </c>
      <c r="B144" s="34" t="s">
        <v>300</v>
      </c>
      <c r="C144" s="35">
        <f>C145+C146+C147+C148</f>
        <v>10455.1783481108</v>
      </c>
      <c r="D144" s="36">
        <f t="shared" si="110"/>
        <v>-0.121334478116622</v>
      </c>
      <c r="E144" s="35">
        <f>E145+E146+E147+E148</f>
        <v>12949.3708480345</v>
      </c>
      <c r="F144" s="36">
        <f t="shared" si="111"/>
        <v>-0.0909455366442774</v>
      </c>
      <c r="G144" s="35">
        <f>G145+G146+G147+G148</f>
        <v>12684.0476804685</v>
      </c>
      <c r="H144" s="36">
        <f t="shared" si="112"/>
        <v>0.0590224406899234</v>
      </c>
      <c r="I144" s="35">
        <f>I145+I146+I147+I148</f>
        <v>10792.5320112604</v>
      </c>
      <c r="J144" s="36">
        <f t="shared" si="113"/>
        <v>-0.117843745321439</v>
      </c>
      <c r="K144" s="35">
        <f>K145+K146+K147+K148</f>
        <v>11546.3662860992</v>
      </c>
      <c r="L144" s="36">
        <f t="shared" si="114"/>
        <v>-0.0422578428987582</v>
      </c>
      <c r="M144" s="35">
        <f>M145+M146+M147+M148</f>
        <v>10883.4078336583</v>
      </c>
      <c r="N144" s="36">
        <f t="shared" si="115"/>
        <v>-0.0361215055524348</v>
      </c>
      <c r="O144" s="35">
        <f>O145+O146+O147+O148</f>
        <v>11042.9948077432</v>
      </c>
      <c r="P144" s="36">
        <f t="shared" si="116"/>
        <v>-0.125731509331899</v>
      </c>
      <c r="Q144" s="127"/>
      <c r="R144" s="127"/>
      <c r="S144" s="131">
        <f t="shared" si="117"/>
        <v>80353.8978153749</v>
      </c>
      <c r="T144" s="132">
        <f t="shared" si="118"/>
        <v>-0.182841922769229</v>
      </c>
      <c r="U144" s="35"/>
      <c r="V144" s="35">
        <f>V145+V146+V147+V148</f>
        <v>11898.9286454538</v>
      </c>
      <c r="W144" s="36">
        <f t="shared" si="119"/>
        <v>0.109845534700944</v>
      </c>
      <c r="X144" s="35">
        <f>X145+X146+X147+X148</f>
        <v>14244.8790144351</v>
      </c>
      <c r="Y144" s="36">
        <f t="shared" si="120"/>
        <v>-0.0381661849129168</v>
      </c>
      <c r="Z144" s="35">
        <f>Z145+Z146+Z147+Z148</f>
        <v>11977.1283337539</v>
      </c>
      <c r="AA144" s="36">
        <f t="shared" si="121"/>
        <v>0.0471170342817635</v>
      </c>
      <c r="AB144" s="35">
        <f>AB145+AB146+AB147+AB148</f>
        <v>12234.2634357822</v>
      </c>
      <c r="AC144" s="36">
        <f t="shared" si="122"/>
        <v>-0.0104298915739096</v>
      </c>
      <c r="AD144" s="35">
        <f>AD145+AD146+AD147+AD148</f>
        <v>12055.8191998628</v>
      </c>
      <c r="AE144" s="36">
        <f t="shared" si="123"/>
        <v>-0.0676842500815112</v>
      </c>
      <c r="AF144" s="35">
        <f>AF145+AF146+AF147+AF148</f>
        <v>11291.2653372311</v>
      </c>
      <c r="AG144" s="36">
        <f t="shared" si="124"/>
        <v>-0.0296137230893652</v>
      </c>
      <c r="AH144" s="35">
        <f>AH145+AH146+AH147+AH148</f>
        <v>12631.125249984</v>
      </c>
      <c r="AI144" s="36">
        <f t="shared" si="125"/>
        <v>0.0458782307448451</v>
      </c>
      <c r="AJ144" s="35">
        <f>AJ145+AJ146+AJ147+AJ148</f>
        <v>11999.9488623679</v>
      </c>
      <c r="AK144" s="36">
        <f t="shared" si="126"/>
        <v>0.0446101255227369</v>
      </c>
      <c r="AL144" s="35">
        <f>AL145+AL146+AL147+AL148</f>
        <v>11728.4752332775</v>
      </c>
      <c r="AM144" s="36">
        <f t="shared" si="127"/>
        <v>0.0780211362882663</v>
      </c>
      <c r="AN144" s="35">
        <f>AN145+AN146+AN147+AN148</f>
        <v>12698.6249019774</v>
      </c>
      <c r="AO144" s="36">
        <f t="shared" si="128"/>
        <v>0.0781064421886828</v>
      </c>
      <c r="AP144" s="35">
        <f>AP145+AP146+AP147+AP148</f>
        <v>11344.1673422838</v>
      </c>
      <c r="AQ144" s="36">
        <f t="shared" si="129"/>
        <v>0.116295459653889</v>
      </c>
      <c r="AR144" s="35">
        <f>AR145+AR146+AR147+AR148</f>
        <v>10893.3915800271</v>
      </c>
      <c r="AS144" s="36">
        <f t="shared" si="130"/>
        <v>0.0724806557436346</v>
      </c>
      <c r="AT144" s="35">
        <f t="shared" si="131"/>
        <v>144998.017136437</v>
      </c>
      <c r="AU144" s="36">
        <f t="shared" si="132"/>
        <v>0.0324404878049402</v>
      </c>
      <c r="AV144" s="37"/>
      <c r="AW144" s="38">
        <f>AW145+AW146+AW147+AW148</f>
        <v>10721.2474830203</v>
      </c>
      <c r="AX144" s="37"/>
      <c r="AY144" s="38">
        <f>AY145+AY146+AY147+AY148</f>
        <v>14810.1249831244</v>
      </c>
      <c r="AZ144" s="37"/>
      <c r="BA144" s="38">
        <f>BA145+BA146+BA147+BA148</f>
        <v>11438.1945299641</v>
      </c>
      <c r="BB144" s="37"/>
      <c r="BC144" s="38">
        <f>BC145+BC146+BC147+BC148</f>
        <v>12363.2103795463</v>
      </c>
      <c r="BD144" s="37"/>
      <c r="BE144" s="38">
        <f>BE145+BE146+BE147+BE148</f>
        <v>12931.0474492325</v>
      </c>
      <c r="BF144" s="37"/>
      <c r="BG144" s="38">
        <f>BG145+BG146+BG147+BG148</f>
        <v>11635.8460603735</v>
      </c>
      <c r="BH144" s="37"/>
      <c r="BI144" s="38">
        <f>BI145+BI146+BI147+BI148</f>
        <v>12077.0514947887</v>
      </c>
      <c r="BJ144" s="37"/>
      <c r="BK144" s="38">
        <f>BK145+BK146+BK147+BK148</f>
        <v>11487.490470536</v>
      </c>
      <c r="BL144" s="37"/>
      <c r="BM144" s="38">
        <f>BM145+BM146+BM147+BM148</f>
        <v>10879.6338387759</v>
      </c>
      <c r="BN144" s="37"/>
      <c r="BO144" s="38">
        <f>BO145+BO146+BO147+BO148</f>
        <v>11778.6374378746</v>
      </c>
      <c r="BP144" s="37"/>
      <c r="BQ144" s="38">
        <f>BQ145+BQ146+BQ147+BQ148</f>
        <v>10162.3340345764</v>
      </c>
      <c r="BR144" s="37"/>
      <c r="BS144" s="38">
        <f>BS145+BS146+BS147+BS148</f>
        <v>10157.1916674561</v>
      </c>
      <c r="BT144" s="37"/>
      <c r="BU144" s="38">
        <f t="shared" si="133"/>
        <v>140442.009829269</v>
      </c>
      <c r="BV144" s="37"/>
      <c r="BW144" s="39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</row>
    <row r="145" ht="28.8" customHeight="1" spans="1:88">
      <c r="A145" s="45"/>
      <c r="B145" s="34" t="s">
        <v>301</v>
      </c>
      <c r="C145" s="35">
        <f>班线包车!C37</f>
        <v>8460.3268</v>
      </c>
      <c r="D145" s="36">
        <f t="shared" si="110"/>
        <v>-0.216620297348893</v>
      </c>
      <c r="E145" s="35">
        <f>班线包车!E37</f>
        <v>10893.6835</v>
      </c>
      <c r="F145" s="36">
        <f t="shared" si="111"/>
        <v>-0.171772853618809</v>
      </c>
      <c r="G145" s="35">
        <f>班线包车!G37</f>
        <v>10915.655</v>
      </c>
      <c r="H145" s="36">
        <f t="shared" si="112"/>
        <v>0.00317419641194538</v>
      </c>
      <c r="I145" s="35">
        <f>班线包车!I37</f>
        <v>9181.1169</v>
      </c>
      <c r="J145" s="36">
        <f t="shared" si="113"/>
        <v>-0.173222011404474</v>
      </c>
      <c r="K145" s="35">
        <f>班线包车!K37</f>
        <v>9903.441</v>
      </c>
      <c r="L145" s="36">
        <f t="shared" si="114"/>
        <v>-0.0910160450689843</v>
      </c>
      <c r="M145" s="35">
        <f>班线包车!M37</f>
        <v>9184.0432</v>
      </c>
      <c r="N145" s="36">
        <f t="shared" si="115"/>
        <v>-0.101314713439389</v>
      </c>
      <c r="O145" s="35">
        <f>班线包车!O37</f>
        <v>9351.8498</v>
      </c>
      <c r="P145" s="36">
        <f t="shared" si="116"/>
        <v>-0.135192780711597</v>
      </c>
      <c r="Q145" s="127"/>
      <c r="R145" s="127"/>
      <c r="S145" s="131">
        <f t="shared" si="117"/>
        <v>67890.1162</v>
      </c>
      <c r="T145" s="132">
        <f t="shared" si="118"/>
        <v>-0.226949077463628</v>
      </c>
      <c r="U145" s="35"/>
      <c r="V145" s="35">
        <f>班线包车!V37</f>
        <v>10799.7779</v>
      </c>
      <c r="W145" s="36">
        <f t="shared" si="119"/>
        <v>0.142506943675852</v>
      </c>
      <c r="X145" s="35">
        <f>班线包车!X37</f>
        <v>13153.0143</v>
      </c>
      <c r="Y145" s="36">
        <f t="shared" si="120"/>
        <v>-0.029851774375794</v>
      </c>
      <c r="Z145" s="35">
        <f>班线包车!Z37</f>
        <v>10881.1162</v>
      </c>
      <c r="AA145" s="36">
        <f t="shared" si="121"/>
        <v>0.0592041177943108</v>
      </c>
      <c r="AB145" s="35">
        <f>班线包车!AB37</f>
        <v>11104.6944</v>
      </c>
      <c r="AC145" s="36">
        <f t="shared" si="122"/>
        <v>-0.0125135450766491</v>
      </c>
      <c r="AD145" s="35">
        <f>班线包车!AD37</f>
        <v>10895.0669</v>
      </c>
      <c r="AE145" s="36">
        <f t="shared" si="123"/>
        <v>-0.0770680780308525</v>
      </c>
      <c r="AF145" s="35">
        <f>班线包车!AF37</f>
        <v>10219.4209</v>
      </c>
      <c r="AG145" s="36">
        <f t="shared" si="124"/>
        <v>-0.0289627602934664</v>
      </c>
      <c r="AH145" s="35">
        <f>班线包车!AH37</f>
        <v>10813.7971</v>
      </c>
      <c r="AI145" s="36">
        <f t="shared" si="125"/>
        <v>-0.00921554942140501</v>
      </c>
      <c r="AJ145" s="35">
        <f>班线包车!AJ37</f>
        <v>9954.1267</v>
      </c>
      <c r="AK145" s="36">
        <f t="shared" si="126"/>
        <v>-0.0416789267271775</v>
      </c>
      <c r="AL145" s="35">
        <f>班线包车!AL37</f>
        <v>9722.3011</v>
      </c>
      <c r="AM145" s="36">
        <f t="shared" si="127"/>
        <v>-0.0138498380819374</v>
      </c>
      <c r="AN145" s="35">
        <f>班线包车!AN37</f>
        <v>10569.0524</v>
      </c>
      <c r="AO145" s="36">
        <f t="shared" si="128"/>
        <v>-0.0145912863039589</v>
      </c>
      <c r="AP145" s="35">
        <f>班线包车!AP37</f>
        <v>9485.8706</v>
      </c>
      <c r="AQ145" s="36">
        <f t="shared" si="129"/>
        <v>0.0386798892734175</v>
      </c>
      <c r="AR145" s="35">
        <f>班线包车!AR37</f>
        <v>8968.5755</v>
      </c>
      <c r="AS145" s="36">
        <f t="shared" si="130"/>
        <v>-0.0115738618178997</v>
      </c>
      <c r="AT145" s="35">
        <f t="shared" si="131"/>
        <v>126566.814</v>
      </c>
      <c r="AU145" s="36">
        <f t="shared" si="132"/>
        <v>-0.00301748131821244</v>
      </c>
      <c r="AV145" s="37"/>
      <c r="AW145" s="35">
        <v>9452.7022</v>
      </c>
      <c r="AX145" s="36"/>
      <c r="AY145" s="35">
        <v>13557.7368</v>
      </c>
      <c r="AZ145" s="36"/>
      <c r="BA145" s="35">
        <v>10272.9172</v>
      </c>
      <c r="BB145" s="36"/>
      <c r="BC145" s="35">
        <v>11245.4144</v>
      </c>
      <c r="BD145" s="36"/>
      <c r="BE145" s="35">
        <v>11804.8435</v>
      </c>
      <c r="BF145" s="36"/>
      <c r="BG145" s="35">
        <v>10524.2317</v>
      </c>
      <c r="BH145" s="36"/>
      <c r="BI145" s="35">
        <v>10914.3791</v>
      </c>
      <c r="BJ145" s="36"/>
      <c r="BK145" s="35">
        <v>10387.0477</v>
      </c>
      <c r="BL145" s="36"/>
      <c r="BM145" s="35">
        <v>9858.8445</v>
      </c>
      <c r="BN145" s="36"/>
      <c r="BO145" s="35">
        <v>10725.552</v>
      </c>
      <c r="BP145" s="36"/>
      <c r="BQ145" s="35">
        <v>9132.6218</v>
      </c>
      <c r="BR145" s="36"/>
      <c r="BS145" s="35">
        <v>9073.592</v>
      </c>
      <c r="BT145" s="36"/>
      <c r="BU145" s="35">
        <f t="shared" si="133"/>
        <v>126949.8829</v>
      </c>
      <c r="BV145" s="36"/>
      <c r="BW145" s="40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7"/>
    </row>
    <row r="146" ht="28.8" customHeight="1" spans="1:88">
      <c r="A146" s="45"/>
      <c r="B146" s="34" t="s">
        <v>302</v>
      </c>
      <c r="C146" s="35">
        <f>公交!C42-公交!C44</f>
        <v>101.48</v>
      </c>
      <c r="D146" s="36">
        <f t="shared" si="110"/>
        <v>-0.189197826781715</v>
      </c>
      <c r="E146" s="35">
        <f>公交!E42-公交!E44</f>
        <v>102.02</v>
      </c>
      <c r="F146" s="36">
        <f t="shared" si="111"/>
        <v>-0.18468792455846</v>
      </c>
      <c r="G146" s="35">
        <f>公交!G42-公交!G44</f>
        <v>102.58</v>
      </c>
      <c r="H146" s="36">
        <f t="shared" si="112"/>
        <v>-0.182694606007491</v>
      </c>
      <c r="I146" s="35">
        <f>公交!I42-公交!I44</f>
        <v>102.82</v>
      </c>
      <c r="J146" s="36">
        <f t="shared" si="113"/>
        <v>-0.183449809402792</v>
      </c>
      <c r="K146" s="35">
        <f>公交!K42-公交!K44</f>
        <v>102.860000000001</v>
      </c>
      <c r="L146" s="36">
        <f t="shared" si="114"/>
        <v>-0.183326716951165</v>
      </c>
      <c r="M146" s="35">
        <f>公交!M42-公交!M44</f>
        <v>103.059999999999</v>
      </c>
      <c r="N146" s="36">
        <f t="shared" si="115"/>
        <v>0.139288083130659</v>
      </c>
      <c r="O146" s="35">
        <f>公交!O42-公交!O44</f>
        <v>103.37</v>
      </c>
      <c r="P146" s="36">
        <f t="shared" si="116"/>
        <v>0.0748674222730561</v>
      </c>
      <c r="Q146" s="127"/>
      <c r="R146" s="127"/>
      <c r="S146" s="131">
        <f t="shared" si="117"/>
        <v>718.19</v>
      </c>
      <c r="T146" s="132">
        <f t="shared" si="118"/>
        <v>-0.217589768171517</v>
      </c>
      <c r="U146" s="35"/>
      <c r="V146" s="35">
        <f>公交!V42-公交!V44</f>
        <v>125.16</v>
      </c>
      <c r="W146" s="36">
        <f t="shared" si="119"/>
        <v>0.00935483870967624</v>
      </c>
      <c r="X146" s="35">
        <f>公交!X42-公交!X44</f>
        <v>125.13</v>
      </c>
      <c r="Y146" s="36">
        <f t="shared" si="120"/>
        <v>0.0128703254006808</v>
      </c>
      <c r="Z146" s="35">
        <f>公交!Z42-公交!Z44</f>
        <v>125.51</v>
      </c>
      <c r="AA146" s="36">
        <f t="shared" si="121"/>
        <v>0.0152887882219723</v>
      </c>
      <c r="AB146" s="35">
        <f>公交!AB42-公交!AB44</f>
        <v>125.919999999999</v>
      </c>
      <c r="AC146" s="36">
        <f t="shared" si="122"/>
        <v>0.0178643601972288</v>
      </c>
      <c r="AD146" s="35">
        <f>公交!AD42-公交!AD44</f>
        <v>125.95</v>
      </c>
      <c r="AE146" s="36">
        <f t="shared" si="123"/>
        <v>0.0190953960676414</v>
      </c>
      <c r="AF146" s="35">
        <f>公交!AF42-公交!AF44</f>
        <v>90.46</v>
      </c>
      <c r="AG146" s="36">
        <f t="shared" si="124"/>
        <v>-0.268063759203819</v>
      </c>
      <c r="AH146" s="35">
        <f>公交!AH42-公交!AH44</f>
        <v>96.1700000000001</v>
      </c>
      <c r="AI146" s="36">
        <f t="shared" si="125"/>
        <v>-0.246375675887475</v>
      </c>
      <c r="AJ146" s="35">
        <f>公交!AJ42-公交!AJ44</f>
        <v>103.62</v>
      </c>
      <c r="AK146" s="36">
        <f t="shared" si="126"/>
        <v>-0.186592354187928</v>
      </c>
      <c r="AL146" s="35">
        <f>公交!AL42-公交!AL44</f>
        <v>103.700000000001</v>
      </c>
      <c r="AM146" s="36">
        <f t="shared" si="127"/>
        <v>-0.169735788630899</v>
      </c>
      <c r="AN146" s="35">
        <f>公交!AN42-公交!AN44</f>
        <v>101.05</v>
      </c>
      <c r="AO146" s="36">
        <f t="shared" si="128"/>
        <v>-0.19256891729924</v>
      </c>
      <c r="AP146" s="35">
        <f>公交!AP42-公交!AP44</f>
        <v>101.25</v>
      </c>
      <c r="AQ146" s="36">
        <f t="shared" si="129"/>
        <v>-0.188246612683396</v>
      </c>
      <c r="AR146" s="35">
        <f>公交!AR42-公交!AR44</f>
        <v>101.37</v>
      </c>
      <c r="AS146" s="36">
        <f t="shared" si="130"/>
        <v>-0.188390712570057</v>
      </c>
      <c r="AT146" s="35">
        <f t="shared" si="131"/>
        <v>1325.29</v>
      </c>
      <c r="AU146" s="36">
        <f t="shared" si="132"/>
        <v>-0.114543037154331</v>
      </c>
      <c r="AV146" s="37"/>
      <c r="AW146" s="35">
        <v>124</v>
      </c>
      <c r="AX146" s="36"/>
      <c r="AY146" s="35">
        <v>123.54</v>
      </c>
      <c r="AZ146" s="36"/>
      <c r="BA146" s="35">
        <v>123.62</v>
      </c>
      <c r="BB146" s="36"/>
      <c r="BC146" s="35">
        <v>123.71</v>
      </c>
      <c r="BD146" s="36"/>
      <c r="BE146" s="35">
        <v>123.59</v>
      </c>
      <c r="BF146" s="36"/>
      <c r="BG146" s="35">
        <v>123.59</v>
      </c>
      <c r="BH146" s="36"/>
      <c r="BI146" s="35">
        <v>127.610000000001</v>
      </c>
      <c r="BJ146" s="36"/>
      <c r="BK146" s="35">
        <v>127.39</v>
      </c>
      <c r="BL146" s="36"/>
      <c r="BM146" s="35">
        <v>124.9</v>
      </c>
      <c r="BN146" s="36"/>
      <c r="BO146" s="35">
        <v>125.15</v>
      </c>
      <c r="BP146" s="36"/>
      <c r="BQ146" s="35">
        <v>124.73</v>
      </c>
      <c r="BR146" s="36"/>
      <c r="BS146" s="35">
        <v>124.9</v>
      </c>
      <c r="BT146" s="36"/>
      <c r="BU146" s="35">
        <f t="shared" si="133"/>
        <v>1496.73</v>
      </c>
      <c r="BV146" s="36"/>
      <c r="BW146" s="40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7"/>
    </row>
    <row r="147" ht="28.8" customHeight="1" spans="1:88">
      <c r="A147" s="45"/>
      <c r="B147" s="34" t="s">
        <v>303</v>
      </c>
      <c r="C147" s="35">
        <f>出租!C42-出租!C44</f>
        <v>1505.33</v>
      </c>
      <c r="D147" s="36">
        <f t="shared" si="110"/>
        <v>0.744480884449131</v>
      </c>
      <c r="E147" s="35">
        <f>出租!E42-出租!E44</f>
        <v>1560.51</v>
      </c>
      <c r="F147" s="36">
        <f t="shared" si="111"/>
        <v>0.998527208227143</v>
      </c>
      <c r="G147" s="35">
        <f>出租!G42-出租!G44</f>
        <v>1249.19</v>
      </c>
      <c r="H147" s="36">
        <f t="shared" si="112"/>
        <v>0.627291083175926</v>
      </c>
      <c r="I147" s="35">
        <f>出租!I42-出租!I44</f>
        <v>1111.64</v>
      </c>
      <c r="J147" s="36">
        <f t="shared" si="113"/>
        <v>0.525092605295651</v>
      </c>
      <c r="K147" s="35">
        <f>出租!K42-出租!K44</f>
        <v>1122.2</v>
      </c>
      <c r="L147" s="36">
        <f t="shared" si="114"/>
        <v>0.490305444887118</v>
      </c>
      <c r="M147" s="35">
        <f>出租!M42-出租!M44</f>
        <v>1138.82</v>
      </c>
      <c r="N147" s="36">
        <f t="shared" si="115"/>
        <v>0.563905024787487</v>
      </c>
      <c r="O147" s="35">
        <f>出租!O42-出租!O44</f>
        <v>1094.25</v>
      </c>
      <c r="P147" s="36">
        <f t="shared" si="116"/>
        <v>-0.195463568855231</v>
      </c>
      <c r="Q147" s="127"/>
      <c r="R147" s="127"/>
      <c r="S147" s="131">
        <f t="shared" si="117"/>
        <v>8781.94</v>
      </c>
      <c r="T147" s="132">
        <f t="shared" si="118"/>
        <v>0.162945973361443</v>
      </c>
      <c r="U147" s="35"/>
      <c r="V147" s="35">
        <f>出租!V42-出租!V44</f>
        <v>862.91</v>
      </c>
      <c r="W147" s="36">
        <f t="shared" si="119"/>
        <v>-0.0737830730424512</v>
      </c>
      <c r="X147" s="35">
        <f>出租!X42-出租!X44</f>
        <v>780.83</v>
      </c>
      <c r="Y147" s="36">
        <f t="shared" si="120"/>
        <v>-0.230557745368546</v>
      </c>
      <c r="Z147" s="35">
        <f>出租!Z42-出租!Z44</f>
        <v>767.65</v>
      </c>
      <c r="AA147" s="36">
        <f t="shared" si="121"/>
        <v>-0.114672233242607</v>
      </c>
      <c r="AB147" s="35">
        <f>出租!AB42-出租!AB44</f>
        <v>728.9</v>
      </c>
      <c r="AC147" s="36">
        <f t="shared" si="122"/>
        <v>-0.0860188087774294</v>
      </c>
      <c r="AD147" s="35">
        <f>出租!AD42-出租!AD44</f>
        <v>753</v>
      </c>
      <c r="AE147" s="36">
        <f t="shared" si="123"/>
        <v>-0.0596315953793318</v>
      </c>
      <c r="AF147" s="35">
        <f>出租!AF42-出租!AF44</f>
        <v>728.19</v>
      </c>
      <c r="AG147" s="36">
        <f t="shared" si="124"/>
        <v>-0.0910123580077393</v>
      </c>
      <c r="AH147" s="35">
        <f>出租!AH42-出租!AH44</f>
        <v>1360.1</v>
      </c>
      <c r="AI147" s="36">
        <f t="shared" si="125"/>
        <v>0.665748123109331</v>
      </c>
      <c r="AJ147" s="35">
        <f>出租!AJ42-出租!AJ44</f>
        <v>1569.88</v>
      </c>
      <c r="AK147" s="36">
        <f t="shared" si="126"/>
        <v>1.03787888622055</v>
      </c>
      <c r="AL147" s="35">
        <f>出租!AL42-出租!AL44</f>
        <v>1573.32</v>
      </c>
      <c r="AM147" s="36">
        <f t="shared" si="127"/>
        <v>1.25378180151272</v>
      </c>
      <c r="AN147" s="35">
        <f>出租!AN42-出租!AN44</f>
        <v>1675.06</v>
      </c>
      <c r="AO147" s="36">
        <f t="shared" si="128"/>
        <v>1.34585813318395</v>
      </c>
      <c r="AP147" s="35">
        <f>出租!AP42-出租!AP44</f>
        <v>1457.61</v>
      </c>
      <c r="AQ147" s="36">
        <f t="shared" si="129"/>
        <v>1.10084748205586</v>
      </c>
      <c r="AR147" s="35">
        <f>出租!AR42-出租!AR44</f>
        <v>1453.79</v>
      </c>
      <c r="AS147" s="36">
        <f t="shared" si="130"/>
        <v>0.9867847430063</v>
      </c>
      <c r="AT147" s="35">
        <f t="shared" si="131"/>
        <v>13711.24</v>
      </c>
      <c r="AU147" s="36">
        <f t="shared" si="132"/>
        <v>0.422708567230649</v>
      </c>
      <c r="AV147" s="37"/>
      <c r="AW147" s="35">
        <v>931.65</v>
      </c>
      <c r="AX147" s="36"/>
      <c r="AY147" s="35">
        <v>1014.8</v>
      </c>
      <c r="AZ147" s="36"/>
      <c r="BA147" s="35">
        <v>867.08</v>
      </c>
      <c r="BB147" s="36"/>
      <c r="BC147" s="35">
        <v>797.5</v>
      </c>
      <c r="BD147" s="36"/>
      <c r="BE147" s="35">
        <v>800.75</v>
      </c>
      <c r="BF147" s="36"/>
      <c r="BG147" s="35">
        <v>801.1</v>
      </c>
      <c r="BH147" s="36"/>
      <c r="BI147" s="35">
        <v>816.51</v>
      </c>
      <c r="BJ147" s="36"/>
      <c r="BK147" s="35">
        <v>770.35</v>
      </c>
      <c r="BL147" s="36"/>
      <c r="BM147" s="35">
        <v>698.08</v>
      </c>
      <c r="BN147" s="36"/>
      <c r="BO147" s="35">
        <v>714.05</v>
      </c>
      <c r="BP147" s="36"/>
      <c r="BQ147" s="35">
        <v>693.82</v>
      </c>
      <c r="BR147" s="36"/>
      <c r="BS147" s="35">
        <v>731.73</v>
      </c>
      <c r="BT147" s="36"/>
      <c r="BU147" s="35">
        <f t="shared" si="133"/>
        <v>9637.42</v>
      </c>
      <c r="BV147" s="36"/>
      <c r="BW147" s="40"/>
      <c r="BX147" s="46"/>
      <c r="BY147" s="46"/>
      <c r="BZ147" s="46"/>
      <c r="CA147" s="46"/>
      <c r="CB147" s="46"/>
      <c r="CC147" s="46"/>
      <c r="CD147" s="41"/>
      <c r="CE147" s="46"/>
      <c r="CF147" s="41"/>
      <c r="CG147" s="41"/>
      <c r="CH147" s="41"/>
      <c r="CI147" s="41"/>
      <c r="CJ147" s="47"/>
    </row>
    <row r="148" ht="28.8" customHeight="1" spans="1:88">
      <c r="A148" s="29"/>
      <c r="B148" s="34" t="s">
        <v>304</v>
      </c>
      <c r="C148" s="35">
        <f>网约车!C42-网约车!C44</f>
        <v>388.041548110759</v>
      </c>
      <c r="D148" s="36">
        <f t="shared" si="110"/>
        <v>2.49332862797604</v>
      </c>
      <c r="E148" s="35">
        <f>网约车!E42-网约车!E44</f>
        <v>393.157348034454</v>
      </c>
      <c r="F148" s="36">
        <f t="shared" si="111"/>
        <v>1.11483258630216</v>
      </c>
      <c r="G148" s="35">
        <f>网约车!G42-网约车!G44</f>
        <v>416.622680468504</v>
      </c>
      <c r="H148" s="36">
        <f t="shared" si="112"/>
        <v>1.0538244915576</v>
      </c>
      <c r="I148" s="35">
        <f>网约车!I42-网约车!I44</f>
        <v>396.95511126045</v>
      </c>
      <c r="J148" s="36">
        <f t="shared" si="113"/>
        <v>0.444791644601753</v>
      </c>
      <c r="K148" s="35">
        <f>网约车!K42-网约车!K44</f>
        <v>417.865286099163</v>
      </c>
      <c r="L148" s="36">
        <f t="shared" si="114"/>
        <v>0.482831354827872</v>
      </c>
      <c r="M148" s="35">
        <f>网约车!M42-网约车!M44</f>
        <v>457.484633658322</v>
      </c>
      <c r="N148" s="36">
        <f t="shared" si="115"/>
        <v>0.806851045628251</v>
      </c>
      <c r="O148" s="35">
        <f>网约车!O42-网约车!O44</f>
        <v>493.525007743248</v>
      </c>
      <c r="P148" s="36">
        <f t="shared" si="116"/>
        <v>0.36688510636066</v>
      </c>
      <c r="Q148" s="127"/>
      <c r="R148" s="127"/>
      <c r="S148" s="131">
        <f t="shared" si="117"/>
        <v>2963.6516153749</v>
      </c>
      <c r="T148" s="132">
        <f t="shared" si="118"/>
        <v>0.450662900190703</v>
      </c>
      <c r="U148" s="35"/>
      <c r="V148" s="35">
        <f>网约车!V42-网约车!V44</f>
        <v>111.080745453823</v>
      </c>
      <c r="W148" s="36">
        <f t="shared" si="119"/>
        <v>-0.47823763928472</v>
      </c>
      <c r="X148" s="35">
        <f>网约车!X42-网约车!X44</f>
        <v>185.904714435056</v>
      </c>
      <c r="Y148" s="36">
        <f t="shared" si="120"/>
        <v>0.630054152044639</v>
      </c>
      <c r="Z148" s="35">
        <f>网约车!Z42-网约车!Z44</f>
        <v>202.852133753913</v>
      </c>
      <c r="AA148" s="36">
        <f t="shared" si="121"/>
        <v>0.161961486039524</v>
      </c>
      <c r="AB148" s="35">
        <f>网约车!AB42-网约车!AB44</f>
        <v>274.749035782158</v>
      </c>
      <c r="AC148" s="36">
        <f t="shared" si="122"/>
        <v>0.397602394719627</v>
      </c>
      <c r="AD148" s="35">
        <f>网约车!AD42-网约车!AD44</f>
        <v>281.802299862798</v>
      </c>
      <c r="AE148" s="36">
        <f t="shared" si="123"/>
        <v>0.396001123202888</v>
      </c>
      <c r="AF148" s="35">
        <f>网约车!AF42-网约车!AF44</f>
        <v>253.194437231129</v>
      </c>
      <c r="AG148" s="36">
        <f t="shared" si="124"/>
        <v>0.354528841105562</v>
      </c>
      <c r="AH148" s="35">
        <f>网约车!AH42-网约车!AH44</f>
        <v>361.058149983989</v>
      </c>
      <c r="AI148" s="36">
        <f t="shared" si="125"/>
        <v>0.65204389699356</v>
      </c>
      <c r="AJ148" s="35">
        <f>网约车!AJ42-网约车!AJ44</f>
        <v>372.322162367876</v>
      </c>
      <c r="AK148" s="36">
        <f t="shared" si="126"/>
        <v>0.836788719677157</v>
      </c>
      <c r="AL148" s="35">
        <f>网约车!AL42-网约车!AL44</f>
        <v>329.154133277492</v>
      </c>
      <c r="AM148" s="36">
        <f t="shared" si="127"/>
        <v>0.663996934191037</v>
      </c>
      <c r="AN148" s="35">
        <f>网约车!AN42-网约车!AN44</f>
        <v>353.462501977382</v>
      </c>
      <c r="AO148" s="36">
        <f t="shared" si="128"/>
        <v>0.6525786210123</v>
      </c>
      <c r="AP148" s="35">
        <f>网约车!AP42-网约车!AP44</f>
        <v>299.436742283824</v>
      </c>
      <c r="AQ148" s="36">
        <f t="shared" si="129"/>
        <v>0.418041170498621</v>
      </c>
      <c r="AR148" s="35">
        <f>网约车!AR42-网约车!AR44</f>
        <v>369.65608002714</v>
      </c>
      <c r="AS148" s="36">
        <f t="shared" si="130"/>
        <v>0.628658508294166</v>
      </c>
      <c r="AT148" s="35">
        <f t="shared" si="131"/>
        <v>3394.67313643658</v>
      </c>
      <c r="AU148" s="36">
        <f t="shared" si="132"/>
        <v>0.439654940767016</v>
      </c>
      <c r="AV148" s="37"/>
      <c r="AW148" s="35">
        <v>212.895283020307</v>
      </c>
      <c r="AX148" s="36"/>
      <c r="AY148" s="35">
        <v>114.048183124388</v>
      </c>
      <c r="AZ148" s="36"/>
      <c r="BA148" s="35">
        <v>174.577329964113</v>
      </c>
      <c r="BB148" s="36"/>
      <c r="BC148" s="35">
        <v>196.585979546261</v>
      </c>
      <c r="BD148" s="36"/>
      <c r="BE148" s="35">
        <v>201.863949232541</v>
      </c>
      <c r="BF148" s="36"/>
      <c r="BG148" s="35">
        <v>186.92436037351</v>
      </c>
      <c r="BH148" s="36"/>
      <c r="BI148" s="35">
        <v>218.552394788694</v>
      </c>
      <c r="BJ148" s="36"/>
      <c r="BK148" s="35">
        <v>202.702770536024</v>
      </c>
      <c r="BL148" s="36"/>
      <c r="BM148" s="35">
        <v>197.809338775923</v>
      </c>
      <c r="BN148" s="36"/>
      <c r="BO148" s="35">
        <v>213.885437874578</v>
      </c>
      <c r="BP148" s="36"/>
      <c r="BQ148" s="35">
        <v>211.162234576401</v>
      </c>
      <c r="BR148" s="36"/>
      <c r="BS148" s="35">
        <v>226.96966745614</v>
      </c>
      <c r="BT148" s="36"/>
      <c r="BU148" s="35">
        <f t="shared" si="133"/>
        <v>2357.97692926888</v>
      </c>
      <c r="BV148" s="36"/>
      <c r="BW148" s="40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7"/>
    </row>
    <row r="149" s="15" customFormat="1" ht="28.8" customHeight="1" spans="1:88">
      <c r="A149" s="48" t="s">
        <v>102</v>
      </c>
      <c r="B149" s="34" t="s">
        <v>300</v>
      </c>
      <c r="C149" s="35">
        <f>C150+C151+C152+C153</f>
        <v>13827.1122831202</v>
      </c>
      <c r="D149" s="36">
        <f t="shared" si="110"/>
        <v>-0.0128512303950356</v>
      </c>
      <c r="E149" s="35">
        <f>E150+E151+E152+E153</f>
        <v>15512.0319997076</v>
      </c>
      <c r="F149" s="36">
        <f t="shared" si="111"/>
        <v>0.00544819865245505</v>
      </c>
      <c r="G149" s="35">
        <f>G150+G151+G152+G153</f>
        <v>15453.6212860353</v>
      </c>
      <c r="H149" s="36">
        <f t="shared" si="112"/>
        <v>0.0102384132534854</v>
      </c>
      <c r="I149" s="35">
        <f>I150+I151+I152+I153</f>
        <v>15694.9181515705</v>
      </c>
      <c r="J149" s="36">
        <f t="shared" si="113"/>
        <v>0.00890436278515772</v>
      </c>
      <c r="K149" s="35">
        <f>K150+K151+K152+K153</f>
        <v>16006.2464424318</v>
      </c>
      <c r="L149" s="36">
        <f t="shared" si="114"/>
        <v>0.0420175634562023</v>
      </c>
      <c r="M149" s="35">
        <f>M150+M151+M152+M153</f>
        <v>15353.4782978662</v>
      </c>
      <c r="N149" s="36">
        <f t="shared" si="115"/>
        <v>0.0225310197120183</v>
      </c>
      <c r="O149" s="35">
        <f>O150+O151+O152+O153</f>
        <v>14680.5825888079</v>
      </c>
      <c r="P149" s="36">
        <f t="shared" si="116"/>
        <v>0.0223134078993823</v>
      </c>
      <c r="Q149" s="127"/>
      <c r="R149" s="127"/>
      <c r="S149" s="131">
        <f t="shared" si="117"/>
        <v>106527.991049539</v>
      </c>
      <c r="T149" s="132">
        <f t="shared" si="118"/>
        <v>-0.108682103533688</v>
      </c>
      <c r="U149" s="35"/>
      <c r="V149" s="35">
        <f>V150+V151+V152+V153</f>
        <v>14007.1210225521</v>
      </c>
      <c r="W149" s="36">
        <f t="shared" si="119"/>
        <v>0.121643922994557</v>
      </c>
      <c r="X149" s="35">
        <f>X150+X151+X152+X153</f>
        <v>15427.9773144926</v>
      </c>
      <c r="Y149" s="36">
        <f t="shared" si="120"/>
        <v>0.252074122883166</v>
      </c>
      <c r="Z149" s="35">
        <f>Z150+Z151+Z152+Z153</f>
        <v>15297.0042351357</v>
      </c>
      <c r="AA149" s="36">
        <f t="shared" si="121"/>
        <v>0.257339810739171</v>
      </c>
      <c r="AB149" s="35">
        <f>AB150+AB151+AB152+AB153</f>
        <v>15556.3983371461</v>
      </c>
      <c r="AC149" s="36">
        <f t="shared" si="122"/>
        <v>0.232964106632666</v>
      </c>
      <c r="AD149" s="35">
        <f>AD150+AD151+AD152+AD153</f>
        <v>15360.8221240933</v>
      </c>
      <c r="AE149" s="36">
        <f t="shared" si="123"/>
        <v>0.258646378653836</v>
      </c>
      <c r="AF149" s="35">
        <f>AF150+AF151+AF152+AF153</f>
        <v>15015.1711800296</v>
      </c>
      <c r="AG149" s="36">
        <f t="shared" si="124"/>
        <v>0.284247491933882</v>
      </c>
      <c r="AH149" s="35">
        <f>AH150+AH151+AH152+AH153</f>
        <v>14360.1585143768</v>
      </c>
      <c r="AI149" s="36">
        <f t="shared" si="125"/>
        <v>0.252093665442104</v>
      </c>
      <c r="AJ149" s="35">
        <f>AJ150+AJ151+AJ152+AJ153</f>
        <v>14492.7399688497</v>
      </c>
      <c r="AK149" s="36">
        <f t="shared" si="126"/>
        <v>0.0240697251800541</v>
      </c>
      <c r="AL149" s="35">
        <f>AL150+AL151+AL152+AL153</f>
        <v>14820.751709187</v>
      </c>
      <c r="AM149" s="36">
        <f t="shared" si="127"/>
        <v>-0.0722406689471429</v>
      </c>
      <c r="AN149" s="35">
        <f>AN150+AN151+AN152+AN153</f>
        <v>15858.2011919657</v>
      </c>
      <c r="AO149" s="36">
        <f t="shared" si="128"/>
        <v>-0.0710744269300835</v>
      </c>
      <c r="AP149" s="35">
        <f>AP150+AP151+AP152+AP153</f>
        <v>14768.3445352655</v>
      </c>
      <c r="AQ149" s="36">
        <f t="shared" si="129"/>
        <v>-0.0177443904309177</v>
      </c>
      <c r="AR149" s="35">
        <f>AR150+AR151+AR152+AR153</f>
        <v>14108.1109443145</v>
      </c>
      <c r="AS149" s="36">
        <f t="shared" si="130"/>
        <v>0.0153935996755385</v>
      </c>
      <c r="AT149" s="35">
        <f t="shared" si="131"/>
        <v>179072.801077409</v>
      </c>
      <c r="AU149" s="36">
        <f t="shared" si="132"/>
        <v>0.111659874770303</v>
      </c>
      <c r="AV149" s="37"/>
      <c r="AW149" s="38">
        <f>AW150+AW151+AW152+AW153</f>
        <v>12488.0282729621</v>
      </c>
      <c r="AX149" s="37"/>
      <c r="AY149" s="38">
        <f>AY150+AY151+AY152+AY153</f>
        <v>12321.9360839169</v>
      </c>
      <c r="AZ149" s="37"/>
      <c r="BA149" s="38">
        <f>BA150+BA151+BA152+BA153</f>
        <v>12166.1655063183</v>
      </c>
      <c r="BB149" s="37"/>
      <c r="BC149" s="38">
        <f>BC150+BC151+BC152+BC153</f>
        <v>12617.0731600874</v>
      </c>
      <c r="BD149" s="37"/>
      <c r="BE149" s="38">
        <f>BE150+BE151+BE152+BE153</f>
        <v>12204.239717054</v>
      </c>
      <c r="BF149" s="37"/>
      <c r="BG149" s="38">
        <f>BG150+BG151+BG152+BG153</f>
        <v>11691.8049475176</v>
      </c>
      <c r="BH149" s="37"/>
      <c r="BI149" s="38">
        <f>BI150+BI151+BI152+BI153</f>
        <v>11468.9171511034</v>
      </c>
      <c r="BJ149" s="37"/>
      <c r="BK149" s="38">
        <f>BK150+BK151+BK152+BK153</f>
        <v>14152.1027450563</v>
      </c>
      <c r="BL149" s="37"/>
      <c r="BM149" s="38">
        <f>BM150+BM151+BM152+BM153</f>
        <v>15974.7805418112</v>
      </c>
      <c r="BN149" s="37"/>
      <c r="BO149" s="38">
        <f>BO150+BO151+BO152+BO153</f>
        <v>17071.5519646611</v>
      </c>
      <c r="BP149" s="37"/>
      <c r="BQ149" s="38">
        <f>BQ150+BQ151+BQ152+BQ153</f>
        <v>15035.1338199477</v>
      </c>
      <c r="BR149" s="37"/>
      <c r="BS149" s="38">
        <f>BS150+BS151+BS152+BS153</f>
        <v>13894.2287491497</v>
      </c>
      <c r="BT149" s="37"/>
      <c r="BU149" s="38">
        <f t="shared" si="133"/>
        <v>161085.962659586</v>
      </c>
      <c r="BV149" s="37"/>
      <c r="BW149" s="39"/>
      <c r="BX149" s="44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</row>
    <row r="150" ht="28.8" customHeight="1" spans="1:88">
      <c r="A150" s="45"/>
      <c r="B150" s="34" t="s">
        <v>301</v>
      </c>
      <c r="C150" s="35">
        <f>班线包车!C39</f>
        <v>7888.0719</v>
      </c>
      <c r="D150" s="36">
        <f t="shared" si="110"/>
        <v>-0.0883690133026297</v>
      </c>
      <c r="E150" s="35">
        <f>班线包车!E39</f>
        <v>9890.8954</v>
      </c>
      <c r="F150" s="36">
        <f t="shared" si="111"/>
        <v>0.114481402916049</v>
      </c>
      <c r="G150" s="35">
        <f>班线包车!G39</f>
        <v>9258.3636</v>
      </c>
      <c r="H150" s="36">
        <f t="shared" si="112"/>
        <v>0.0687122063091785</v>
      </c>
      <c r="I150" s="35">
        <f>班线包车!I39</f>
        <v>9236.1468</v>
      </c>
      <c r="J150" s="36">
        <f t="shared" si="113"/>
        <v>0.00372528740688627</v>
      </c>
      <c r="K150" s="35">
        <f>班线包车!K39</f>
        <v>9544.8729</v>
      </c>
      <c r="L150" s="36">
        <f t="shared" si="114"/>
        <v>0.0624049506392519</v>
      </c>
      <c r="M150" s="35">
        <f>班线包车!M39</f>
        <v>9053.128</v>
      </c>
      <c r="N150" s="36">
        <f t="shared" si="115"/>
        <v>0.054127389488043</v>
      </c>
      <c r="O150" s="35">
        <f>班线包车!O39</f>
        <v>8677.8103</v>
      </c>
      <c r="P150" s="36">
        <f t="shared" si="116"/>
        <v>0.0174907648500353</v>
      </c>
      <c r="Q150" s="127"/>
      <c r="R150" s="127"/>
      <c r="S150" s="131">
        <f t="shared" si="117"/>
        <v>63549.2889</v>
      </c>
      <c r="T150" s="132">
        <f t="shared" si="118"/>
        <v>-0.0967698931795719</v>
      </c>
      <c r="U150" s="35"/>
      <c r="V150" s="35">
        <f>班线包车!V39</f>
        <v>8652.7027</v>
      </c>
      <c r="W150" s="36">
        <f t="shared" si="119"/>
        <v>0.267291043395115</v>
      </c>
      <c r="X150" s="35">
        <f>班线包车!X39</f>
        <v>8874.886</v>
      </c>
      <c r="Y150" s="36">
        <f t="shared" si="120"/>
        <v>0.220181911318047</v>
      </c>
      <c r="Z150" s="35">
        <f>班线包车!Z39</f>
        <v>8663.1027</v>
      </c>
      <c r="AA150" s="36">
        <f t="shared" si="121"/>
        <v>0.238947473182783</v>
      </c>
      <c r="AB150" s="35">
        <f>班线包车!AB39</f>
        <v>9201.8672</v>
      </c>
      <c r="AC150" s="36">
        <f t="shared" si="122"/>
        <v>0.259940498239036</v>
      </c>
      <c r="AD150" s="35">
        <f>班线包车!AD39</f>
        <v>8984.2135</v>
      </c>
      <c r="AE150" s="36">
        <f t="shared" si="123"/>
        <v>0.249525371751042</v>
      </c>
      <c r="AF150" s="35">
        <f>班线包车!AF39</f>
        <v>8588.2675</v>
      </c>
      <c r="AG150" s="36">
        <f t="shared" si="124"/>
        <v>0.280762431963852</v>
      </c>
      <c r="AH150" s="35">
        <f>班线包车!AH39</f>
        <v>8528.6379</v>
      </c>
      <c r="AI150" s="36">
        <f t="shared" si="125"/>
        <v>0.287825656185902</v>
      </c>
      <c r="AJ150" s="35">
        <f>班线包车!AJ39</f>
        <v>8864.1288</v>
      </c>
      <c r="AK150" s="36">
        <f t="shared" si="126"/>
        <v>-0.0244619436622191</v>
      </c>
      <c r="AL150" s="35">
        <f>班线包车!AL39</f>
        <v>8956.6383</v>
      </c>
      <c r="AM150" s="36">
        <f t="shared" si="127"/>
        <v>-0.1607590050883</v>
      </c>
      <c r="AN150" s="35">
        <f>班线包车!AN39</f>
        <v>9643.3971</v>
      </c>
      <c r="AO150" s="36">
        <f t="shared" si="128"/>
        <v>-0.168040238104792</v>
      </c>
      <c r="AP150" s="35">
        <f>班线包车!AP39</f>
        <v>8993.5855</v>
      </c>
      <c r="AQ150" s="36">
        <f t="shared" si="129"/>
        <v>-0.0628773762191415</v>
      </c>
      <c r="AR150" s="35">
        <f>班线包车!AR39</f>
        <v>8330.8369</v>
      </c>
      <c r="AS150" s="36">
        <f t="shared" si="130"/>
        <v>-0.0224045191400478</v>
      </c>
      <c r="AT150" s="35">
        <f t="shared" si="131"/>
        <v>106282.2641</v>
      </c>
      <c r="AU150" s="36">
        <f t="shared" si="132"/>
        <v>0.0802829935970242</v>
      </c>
      <c r="AV150" s="37"/>
      <c r="AW150" s="35">
        <v>6827.7155</v>
      </c>
      <c r="AX150" s="36"/>
      <c r="AY150" s="35">
        <v>7273.4122</v>
      </c>
      <c r="AZ150" s="36"/>
      <c r="BA150" s="35">
        <v>6992.3083</v>
      </c>
      <c r="BB150" s="36"/>
      <c r="BC150" s="35">
        <v>7303.4141</v>
      </c>
      <c r="BD150" s="36"/>
      <c r="BE150" s="35">
        <v>7190.1009</v>
      </c>
      <c r="BF150" s="36"/>
      <c r="BG150" s="35">
        <v>6705.5898</v>
      </c>
      <c r="BH150" s="36"/>
      <c r="BI150" s="35">
        <v>6622.5097</v>
      </c>
      <c r="BJ150" s="36"/>
      <c r="BK150" s="35">
        <v>9086.3998</v>
      </c>
      <c r="BL150" s="36"/>
      <c r="BM150" s="35">
        <v>10672.3079</v>
      </c>
      <c r="BN150" s="36"/>
      <c r="BO150" s="35">
        <v>11591.1821</v>
      </c>
      <c r="BP150" s="36"/>
      <c r="BQ150" s="35">
        <v>9597.021</v>
      </c>
      <c r="BR150" s="36"/>
      <c r="BS150" s="35">
        <v>8521.7629</v>
      </c>
      <c r="BT150" s="36"/>
      <c r="BU150" s="35">
        <f t="shared" si="133"/>
        <v>98383.7242</v>
      </c>
      <c r="BV150" s="36"/>
      <c r="BW150" s="40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7"/>
    </row>
    <row r="151" ht="28.8" customHeight="1" spans="1:88">
      <c r="A151" s="45"/>
      <c r="B151" s="34" t="s">
        <v>302</v>
      </c>
      <c r="C151" s="35">
        <f>公交!C46-公交!C48</f>
        <v>5139.01</v>
      </c>
      <c r="D151" s="36">
        <f t="shared" si="110"/>
        <v>0.0729988578921323</v>
      </c>
      <c r="E151" s="35">
        <f>公交!E46-公交!E48</f>
        <v>4912.05</v>
      </c>
      <c r="F151" s="36">
        <f t="shared" si="111"/>
        <v>-0.179325289288232</v>
      </c>
      <c r="G151" s="35">
        <f>公交!G46-公交!G48</f>
        <v>5501.57</v>
      </c>
      <c r="H151" s="36">
        <f t="shared" si="112"/>
        <v>-0.106899585719666</v>
      </c>
      <c r="I151" s="35">
        <f>公交!I46-公交!I48</f>
        <v>5644.45</v>
      </c>
      <c r="J151" s="36">
        <f t="shared" si="113"/>
        <v>-0.0377947413640267</v>
      </c>
      <c r="K151" s="35">
        <f>公交!K46-公交!K48</f>
        <v>5668.25</v>
      </c>
      <c r="L151" s="36">
        <f t="shared" si="114"/>
        <v>-0.0403937801027618</v>
      </c>
      <c r="M151" s="35">
        <f>公交!M46-公交!M48</f>
        <v>5491.85</v>
      </c>
      <c r="N151" s="36">
        <f t="shared" si="115"/>
        <v>-0.0684785355784088</v>
      </c>
      <c r="O151" s="35">
        <f>公交!O46-公交!O48</f>
        <v>5170.69</v>
      </c>
      <c r="P151" s="36">
        <f t="shared" si="116"/>
        <v>-0.0203649742903803</v>
      </c>
      <c r="Q151" s="127"/>
      <c r="R151" s="127"/>
      <c r="S151" s="131">
        <f t="shared" si="117"/>
        <v>37527.87</v>
      </c>
      <c r="T151" s="132">
        <f t="shared" si="118"/>
        <v>-0.164326775015671</v>
      </c>
      <c r="U151" s="35"/>
      <c r="V151" s="35">
        <f>公交!V46-公交!V48</f>
        <v>4789.39</v>
      </c>
      <c r="W151" s="36">
        <f t="shared" si="119"/>
        <v>0.0626747313020866</v>
      </c>
      <c r="X151" s="35">
        <f>公交!X46-公交!X48</f>
        <v>5985.38</v>
      </c>
      <c r="Y151" s="36">
        <f t="shared" si="120"/>
        <v>0.489700933835095</v>
      </c>
      <c r="Z151" s="35">
        <f>公交!Z46-公交!Z48</f>
        <v>6160.08</v>
      </c>
      <c r="AA151" s="36">
        <f t="shared" si="121"/>
        <v>0.418275252339203</v>
      </c>
      <c r="AB151" s="35">
        <f>公交!AB46-公交!AB48</f>
        <v>5866.16</v>
      </c>
      <c r="AC151" s="36">
        <f t="shared" si="122"/>
        <v>0.304138849427871</v>
      </c>
      <c r="AD151" s="35">
        <f>公交!AD46-公交!AD48</f>
        <v>5906.85</v>
      </c>
      <c r="AE151" s="36">
        <f t="shared" si="123"/>
        <v>0.322590973820676</v>
      </c>
      <c r="AF151" s="35">
        <f>公交!AF46-公交!AF48</f>
        <v>5895.57</v>
      </c>
      <c r="AG151" s="36">
        <f t="shared" si="124"/>
        <v>0.334567037683443</v>
      </c>
      <c r="AH151" s="35">
        <f>公交!AH46-公交!AH48</f>
        <v>5278.18</v>
      </c>
      <c r="AI151" s="36">
        <f t="shared" si="125"/>
        <v>0.235358412578787</v>
      </c>
      <c r="AJ151" s="35">
        <f>公交!AJ46-公交!AJ48</f>
        <v>5025.74</v>
      </c>
      <c r="AK151" s="36">
        <f t="shared" si="126"/>
        <v>0.100716619797279</v>
      </c>
      <c r="AL151" s="35">
        <f>公交!AL46-公交!AL48</f>
        <v>5273.14</v>
      </c>
      <c r="AM151" s="36">
        <f t="shared" si="127"/>
        <v>0.098838675260428</v>
      </c>
      <c r="AN151" s="35">
        <f>公交!AN46-公交!AN48</f>
        <v>5435.17</v>
      </c>
      <c r="AO151" s="36">
        <f t="shared" si="128"/>
        <v>0.107489327886056</v>
      </c>
      <c r="AP151" s="35">
        <f>公交!AP46-公交!AP48</f>
        <v>5196.39</v>
      </c>
      <c r="AQ151" s="36">
        <f t="shared" si="129"/>
        <v>0.0840763719963782</v>
      </c>
      <c r="AR151" s="35">
        <f>公交!AR46-公交!AR48</f>
        <v>5050</v>
      </c>
      <c r="AS151" s="36">
        <f t="shared" si="130"/>
        <v>0.0574941785468983</v>
      </c>
      <c r="AT151" s="35">
        <f t="shared" si="131"/>
        <v>65862.05</v>
      </c>
      <c r="AU151" s="36">
        <f t="shared" si="132"/>
        <v>0.211507639931123</v>
      </c>
      <c r="AV151" s="37"/>
      <c r="AW151" s="35">
        <v>4506.92</v>
      </c>
      <c r="AX151" s="36"/>
      <c r="AY151" s="35">
        <v>4017.84</v>
      </c>
      <c r="AZ151" s="36"/>
      <c r="BA151" s="35">
        <v>4343.36</v>
      </c>
      <c r="BB151" s="36"/>
      <c r="BC151" s="35">
        <v>4498.11</v>
      </c>
      <c r="BD151" s="36"/>
      <c r="BE151" s="35">
        <v>4466.12</v>
      </c>
      <c r="BF151" s="36"/>
      <c r="BG151" s="35">
        <v>4417.59</v>
      </c>
      <c r="BH151" s="36"/>
      <c r="BI151" s="35">
        <v>4272.59</v>
      </c>
      <c r="BJ151" s="36"/>
      <c r="BK151" s="35">
        <v>4565.88</v>
      </c>
      <c r="BL151" s="36"/>
      <c r="BM151" s="35">
        <v>4798.83</v>
      </c>
      <c r="BN151" s="36"/>
      <c r="BO151" s="35">
        <v>4907.65</v>
      </c>
      <c r="BP151" s="36"/>
      <c r="BQ151" s="35">
        <v>4793.38</v>
      </c>
      <c r="BR151" s="36"/>
      <c r="BS151" s="35">
        <v>4775.44</v>
      </c>
      <c r="BT151" s="36"/>
      <c r="BU151" s="35">
        <f t="shared" si="133"/>
        <v>54363.71</v>
      </c>
      <c r="BV151" s="36"/>
      <c r="BW151" s="40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7"/>
    </row>
    <row r="152" ht="28.8" customHeight="1" spans="1:88">
      <c r="A152" s="45"/>
      <c r="B152" s="34" t="s">
        <v>303</v>
      </c>
      <c r="C152" s="35">
        <f>出租!C46-出租!C48</f>
        <v>502.62</v>
      </c>
      <c r="D152" s="36">
        <f t="shared" si="110"/>
        <v>0.0986469649609825</v>
      </c>
      <c r="E152" s="35">
        <f>出租!E46-出租!E48</f>
        <v>430.92</v>
      </c>
      <c r="F152" s="36">
        <f t="shared" si="111"/>
        <v>-0.0367919889132272</v>
      </c>
      <c r="G152" s="35">
        <f>出租!G46-出租!G48</f>
        <v>409.59</v>
      </c>
      <c r="H152" s="36">
        <f t="shared" si="112"/>
        <v>0.151633582635101</v>
      </c>
      <c r="I152" s="35">
        <f>出租!I46-出租!I48</f>
        <v>506.65</v>
      </c>
      <c r="J152" s="36">
        <f t="shared" si="113"/>
        <v>0.4462491436401</v>
      </c>
      <c r="K152" s="35">
        <f>出租!K46-出租!K48</f>
        <v>480.17</v>
      </c>
      <c r="L152" s="36">
        <f t="shared" si="114"/>
        <v>0.514970815586056</v>
      </c>
      <c r="M152" s="35">
        <f>出租!M46-出租!M48</f>
        <v>481.46</v>
      </c>
      <c r="N152" s="36">
        <f t="shared" si="115"/>
        <v>0.280002126867655</v>
      </c>
      <c r="O152" s="35">
        <f>出租!O46-出租!O48</f>
        <v>479.25</v>
      </c>
      <c r="P152" s="36">
        <f t="shared" si="116"/>
        <v>0.241065879428217</v>
      </c>
      <c r="Q152" s="127"/>
      <c r="R152" s="127"/>
      <c r="S152" s="131">
        <f t="shared" si="117"/>
        <v>3290.66</v>
      </c>
      <c r="T152" s="132">
        <f t="shared" si="118"/>
        <v>0.0573726507096473</v>
      </c>
      <c r="U152" s="35"/>
      <c r="V152" s="35">
        <f>出租!V46-出租!V48</f>
        <v>457.49</v>
      </c>
      <c r="W152" s="36">
        <f t="shared" si="119"/>
        <v>-0.484808558558558</v>
      </c>
      <c r="X152" s="35">
        <f>出租!X46-出租!X48</f>
        <v>447.38</v>
      </c>
      <c r="Y152" s="36">
        <f t="shared" si="120"/>
        <v>-0.468846464358646</v>
      </c>
      <c r="Z152" s="35">
        <f>出租!Z46-出租!Z48</f>
        <v>355.66</v>
      </c>
      <c r="AA152" s="36">
        <f t="shared" si="121"/>
        <v>-0.459088696921767</v>
      </c>
      <c r="AB152" s="35">
        <f>出租!AB46-出租!AB48</f>
        <v>350.32</v>
      </c>
      <c r="AC152" s="36">
        <f t="shared" si="122"/>
        <v>-0.44038338658147</v>
      </c>
      <c r="AD152" s="35">
        <f>出租!AD46-出租!AD48</f>
        <v>316.95</v>
      </c>
      <c r="AE152" s="36">
        <f t="shared" si="123"/>
        <v>-0.13467838811838</v>
      </c>
      <c r="AF152" s="35">
        <f>出租!AF46-出租!AF48</f>
        <v>376.14</v>
      </c>
      <c r="AG152" s="36">
        <f t="shared" si="124"/>
        <v>-0.0745497490404485</v>
      </c>
      <c r="AH152" s="35">
        <f>出租!AH46-出租!AH48</f>
        <v>386.16</v>
      </c>
      <c r="AI152" s="36">
        <f t="shared" si="125"/>
        <v>-0.0297731212783602</v>
      </c>
      <c r="AJ152" s="35">
        <f>出租!AJ46-出租!AJ48</f>
        <v>422.01</v>
      </c>
      <c r="AK152" s="36">
        <f t="shared" si="126"/>
        <v>0.228451663610165</v>
      </c>
      <c r="AL152" s="35">
        <f>出租!AL46-出租!AL48</f>
        <v>429.95</v>
      </c>
      <c r="AM152" s="36">
        <f t="shared" si="127"/>
        <v>0.241481866481867</v>
      </c>
      <c r="AN152" s="35">
        <f>出租!AN46-出租!AN48</f>
        <v>571.05</v>
      </c>
      <c r="AO152" s="36">
        <f t="shared" si="128"/>
        <v>0.438485566023477</v>
      </c>
      <c r="AP152" s="35">
        <f>出租!AP46-出租!AP48</f>
        <v>419.81</v>
      </c>
      <c r="AQ152" s="36">
        <f t="shared" si="129"/>
        <v>-0.0620028599517379</v>
      </c>
      <c r="AR152" s="35">
        <f>出租!AR46-出租!AR48</f>
        <v>499.04</v>
      </c>
      <c r="AS152" s="36">
        <f t="shared" si="130"/>
        <v>0.281693034723649</v>
      </c>
      <c r="AT152" s="35">
        <f t="shared" si="131"/>
        <v>5031.96</v>
      </c>
      <c r="AU152" s="36">
        <f t="shared" si="132"/>
        <v>-0.17620672267807</v>
      </c>
      <c r="AV152" s="37"/>
      <c r="AW152" s="35">
        <v>888</v>
      </c>
      <c r="AX152" s="36"/>
      <c r="AY152" s="35">
        <v>842.28</v>
      </c>
      <c r="AZ152" s="36"/>
      <c r="BA152" s="35">
        <v>657.52</v>
      </c>
      <c r="BB152" s="36"/>
      <c r="BC152" s="35">
        <v>626</v>
      </c>
      <c r="BD152" s="36"/>
      <c r="BE152" s="35">
        <v>366.28</v>
      </c>
      <c r="BF152" s="36"/>
      <c r="BG152" s="35">
        <v>406.44</v>
      </c>
      <c r="BH152" s="36"/>
      <c r="BI152" s="35">
        <v>398.01</v>
      </c>
      <c r="BJ152" s="36"/>
      <c r="BK152" s="35">
        <v>343.53</v>
      </c>
      <c r="BL152" s="36"/>
      <c r="BM152" s="35">
        <v>346.32</v>
      </c>
      <c r="BN152" s="36"/>
      <c r="BO152" s="35">
        <v>396.98</v>
      </c>
      <c r="BP152" s="36"/>
      <c r="BQ152" s="35">
        <v>447.56</v>
      </c>
      <c r="BR152" s="36"/>
      <c r="BS152" s="35">
        <v>389.36</v>
      </c>
      <c r="BT152" s="36"/>
      <c r="BU152" s="35">
        <f t="shared" si="133"/>
        <v>6108.28</v>
      </c>
      <c r="BV152" s="36"/>
      <c r="BW152" s="40"/>
      <c r="BX152" s="49"/>
      <c r="BY152" s="49"/>
      <c r="BZ152" s="49"/>
      <c r="CA152" s="49"/>
      <c r="CB152" s="49"/>
      <c r="CC152" s="49"/>
      <c r="CD152" s="50"/>
      <c r="CE152" s="49"/>
      <c r="CF152" s="50"/>
      <c r="CG152" s="50"/>
      <c r="CH152" s="50"/>
      <c r="CI152" s="50"/>
      <c r="CJ152" s="47"/>
    </row>
    <row r="153" ht="28.8" customHeight="1" spans="1:88">
      <c r="A153" s="29"/>
      <c r="B153" s="34" t="s">
        <v>304</v>
      </c>
      <c r="C153" s="35">
        <f>网约车!C46-网约车!C48</f>
        <v>297.410383120181</v>
      </c>
      <c r="D153" s="36">
        <f t="shared" si="110"/>
        <v>1.76562230153783</v>
      </c>
      <c r="E153" s="35">
        <f>网约车!E46-网约车!E48</f>
        <v>278.166599707576</v>
      </c>
      <c r="F153" s="36">
        <f t="shared" si="111"/>
        <v>1.31167257567493</v>
      </c>
      <c r="G153" s="35">
        <f>网约车!G46-网约车!G48</f>
        <v>284.097686035285</v>
      </c>
      <c r="H153" s="36">
        <f t="shared" si="112"/>
        <v>1.40431613984307</v>
      </c>
      <c r="I153" s="35">
        <f>网约车!I46-网约车!I48</f>
        <v>307.671351570464</v>
      </c>
      <c r="J153" s="36">
        <f t="shared" si="113"/>
        <v>1.22867669133992</v>
      </c>
      <c r="K153" s="35">
        <f>网约车!K46-网约车!K48</f>
        <v>312.953542431841</v>
      </c>
      <c r="L153" s="36">
        <f t="shared" si="114"/>
        <v>1.04800968720674</v>
      </c>
      <c r="M153" s="35">
        <f>网约车!M46-网约车!M48</f>
        <v>327.040297866205</v>
      </c>
      <c r="N153" s="36">
        <f t="shared" si="115"/>
        <v>1.1073042265881</v>
      </c>
      <c r="O153" s="35">
        <f>网约车!O46-网约车!O48</f>
        <v>352.832288807909</v>
      </c>
      <c r="P153" s="36">
        <f t="shared" si="116"/>
        <v>1.11048565722227</v>
      </c>
      <c r="Q153" s="127"/>
      <c r="R153" s="127"/>
      <c r="S153" s="131">
        <f t="shared" si="117"/>
        <v>2160.17214953946</v>
      </c>
      <c r="T153" s="132">
        <f t="shared" si="118"/>
        <v>0.894677779443872</v>
      </c>
      <c r="U153" s="35"/>
      <c r="V153" s="35">
        <f>网约车!V46-网约车!V48</f>
        <v>107.538322552145</v>
      </c>
      <c r="W153" s="36">
        <f t="shared" si="119"/>
        <v>-0.594795587868152</v>
      </c>
      <c r="X153" s="35">
        <f>网约车!X46-网约车!X48</f>
        <v>120.331314492651</v>
      </c>
      <c r="Y153" s="36">
        <f t="shared" si="120"/>
        <v>-0.361311922074042</v>
      </c>
      <c r="Z153" s="35">
        <f>网约车!Z46-网约车!Z48</f>
        <v>118.161535135653</v>
      </c>
      <c r="AA153" s="36">
        <f t="shared" si="121"/>
        <v>-0.316895343319182</v>
      </c>
      <c r="AB153" s="35">
        <f>网约车!AB46-网约车!AB48</f>
        <v>138.051137146091</v>
      </c>
      <c r="AC153" s="36">
        <f t="shared" si="122"/>
        <v>-0.271686511753377</v>
      </c>
      <c r="AD153" s="35">
        <f>网约车!AD46-网约车!AD48</f>
        <v>152.808624093314</v>
      </c>
      <c r="AE153" s="36">
        <f t="shared" si="123"/>
        <v>-0.159185546762265</v>
      </c>
      <c r="AF153" s="35">
        <f>网约车!AF46-网约车!AF48</f>
        <v>155.193680029632</v>
      </c>
      <c r="AG153" s="36">
        <f t="shared" si="124"/>
        <v>-0.0431079392594268</v>
      </c>
      <c r="AH153" s="35">
        <f>网约车!AH46-网约车!AH48</f>
        <v>167.180614376831</v>
      </c>
      <c r="AI153" s="36">
        <f t="shared" si="125"/>
        <v>-0.0490698014924837</v>
      </c>
      <c r="AJ153" s="35">
        <f>网约车!AJ46-网约车!AJ48</f>
        <v>180.861168849701</v>
      </c>
      <c r="AK153" s="36">
        <f t="shared" si="126"/>
        <v>0.157193427921805</v>
      </c>
      <c r="AL153" s="35">
        <f>网约车!AL46-网约车!AL48</f>
        <v>161.023409186982</v>
      </c>
      <c r="AM153" s="36">
        <f t="shared" si="127"/>
        <v>0.023523425065507</v>
      </c>
      <c r="AN153" s="35">
        <f>网约车!AN46-网约车!AN48</f>
        <v>208.584091965662</v>
      </c>
      <c r="AO153" s="36">
        <f t="shared" si="128"/>
        <v>0.186891160795603</v>
      </c>
      <c r="AP153" s="35">
        <f>网约车!AP46-网约车!AP48</f>
        <v>158.559035265503</v>
      </c>
      <c r="AQ153" s="36">
        <f t="shared" si="129"/>
        <v>-0.195837259377216</v>
      </c>
      <c r="AR153" s="35">
        <f>网约车!AR46-网约车!AR48</f>
        <v>228.234044314507</v>
      </c>
      <c r="AS153" s="36">
        <f t="shared" si="130"/>
        <v>0.0990446683890738</v>
      </c>
      <c r="AT153" s="35">
        <f t="shared" si="131"/>
        <v>1896.52697740867</v>
      </c>
      <c r="AU153" s="36">
        <f t="shared" si="132"/>
        <v>-0.149634217094799</v>
      </c>
      <c r="AV153" s="37"/>
      <c r="AW153" s="35">
        <v>265.392772962091</v>
      </c>
      <c r="AX153" s="36"/>
      <c r="AY153" s="35">
        <v>188.40388391687</v>
      </c>
      <c r="AZ153" s="36"/>
      <c r="BA153" s="35">
        <v>172.977206318276</v>
      </c>
      <c r="BB153" s="36"/>
      <c r="BC153" s="35">
        <v>189.549060087356</v>
      </c>
      <c r="BD153" s="36"/>
      <c r="BE153" s="35">
        <v>181.738817053979</v>
      </c>
      <c r="BF153" s="36"/>
      <c r="BG153" s="35">
        <v>162.185147517602</v>
      </c>
      <c r="BH153" s="36"/>
      <c r="BI153" s="35">
        <v>175.807451103373</v>
      </c>
      <c r="BJ153" s="36"/>
      <c r="BK153" s="35">
        <v>156.292945056306</v>
      </c>
      <c r="BL153" s="36"/>
      <c r="BM153" s="35">
        <v>157.322641811228</v>
      </c>
      <c r="BN153" s="36"/>
      <c r="BO153" s="35">
        <v>175.739864661089</v>
      </c>
      <c r="BP153" s="36"/>
      <c r="BQ153" s="35">
        <v>197.172819947747</v>
      </c>
      <c r="BR153" s="36"/>
      <c r="BS153" s="35">
        <v>207.665849149736</v>
      </c>
      <c r="BT153" s="36"/>
      <c r="BU153" s="35">
        <f t="shared" si="133"/>
        <v>2230.24845958565</v>
      </c>
      <c r="BV153" s="36"/>
      <c r="BW153" s="40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7"/>
    </row>
    <row r="154" s="15" customFormat="1" ht="28.8" customHeight="1" spans="1:88">
      <c r="A154" s="48" t="s">
        <v>103</v>
      </c>
      <c r="B154" s="34" t="s">
        <v>300</v>
      </c>
      <c r="C154" s="35">
        <f>C155+C156+C157+C158</f>
        <v>9673.86101083028</v>
      </c>
      <c r="D154" s="36">
        <f t="shared" si="110"/>
        <v>-0.186132483784195</v>
      </c>
      <c r="E154" s="35">
        <f>E155+E156+E157+E158</f>
        <v>10892.929130885</v>
      </c>
      <c r="F154" s="36">
        <f t="shared" si="111"/>
        <v>-0.0787705300601074</v>
      </c>
      <c r="G154" s="35">
        <f>G155+G156+G157+G158</f>
        <v>11678.9654857043</v>
      </c>
      <c r="H154" s="36">
        <f t="shared" si="112"/>
        <v>-0.0701229106360831</v>
      </c>
      <c r="I154" s="35">
        <f>I155+I156+I157+I158</f>
        <v>12396.9809468923</v>
      </c>
      <c r="J154" s="36">
        <f t="shared" si="113"/>
        <v>-0.04464577435284</v>
      </c>
      <c r="K154" s="35">
        <f>K155+K156+K157+K158</f>
        <v>12306.030129602</v>
      </c>
      <c r="L154" s="36">
        <f t="shared" si="114"/>
        <v>-0.0224330324145435</v>
      </c>
      <c r="M154" s="35">
        <f>M155+M156+M157+M158</f>
        <v>11177.8291783568</v>
      </c>
      <c r="N154" s="36">
        <f t="shared" si="115"/>
        <v>-0.0862614163977867</v>
      </c>
      <c r="O154" s="35">
        <f>O155+O156+O157+O158</f>
        <v>10111.3401669814</v>
      </c>
      <c r="P154" s="36">
        <f t="shared" si="116"/>
        <v>0.00761768551284581</v>
      </c>
      <c r="Q154" s="127"/>
      <c r="R154" s="127"/>
      <c r="S154" s="131">
        <f t="shared" si="117"/>
        <v>78237.9360492521</v>
      </c>
      <c r="T154" s="132">
        <f t="shared" si="118"/>
        <v>-0.164507424715389</v>
      </c>
      <c r="U154" s="35"/>
      <c r="V154" s="35">
        <f>V155+V156+V157+V158</f>
        <v>11886.2847061525</v>
      </c>
      <c r="W154" s="36">
        <f t="shared" si="119"/>
        <v>0.19396779800022</v>
      </c>
      <c r="X154" s="35">
        <f>X155+X156+X157+X158</f>
        <v>11824.3385457433</v>
      </c>
      <c r="Y154" s="36">
        <f t="shared" si="120"/>
        <v>0.316321751112422</v>
      </c>
      <c r="Z154" s="35">
        <f>Z155+Z156+Z157+Z158</f>
        <v>12559.6873170553</v>
      </c>
      <c r="AA154" s="36">
        <f t="shared" si="121"/>
        <v>0.337140688447195</v>
      </c>
      <c r="AB154" s="35">
        <f>AB155+AB156+AB157+AB158</f>
        <v>12976.318745536</v>
      </c>
      <c r="AC154" s="36">
        <f t="shared" si="122"/>
        <v>0.269886494679744</v>
      </c>
      <c r="AD154" s="35">
        <f>AD155+AD156+AD157+AD158</f>
        <v>12588.4267141281</v>
      </c>
      <c r="AE154" s="36">
        <f t="shared" si="123"/>
        <v>0.213730118150337</v>
      </c>
      <c r="AF154" s="35">
        <f>AF155+AF156+AF157+AF158</f>
        <v>12233.0712295093</v>
      </c>
      <c r="AG154" s="36">
        <f t="shared" si="124"/>
        <v>0.254777235585211</v>
      </c>
      <c r="AH154" s="35">
        <f>AH155+AH156+AH157+AH158</f>
        <v>10034.8974738718</v>
      </c>
      <c r="AI154" s="36">
        <f t="shared" si="125"/>
        <v>0.0608734930407597</v>
      </c>
      <c r="AJ154" s="35">
        <f>AJ155+AJ156+AJ157+AJ158</f>
        <v>9539.86134942716</v>
      </c>
      <c r="AK154" s="36">
        <f t="shared" si="126"/>
        <v>-0.0204184003795116</v>
      </c>
      <c r="AL154" s="35">
        <f>AL155+AL156+AL157+AL158</f>
        <v>10038.9787612291</v>
      </c>
      <c r="AM154" s="36">
        <f t="shared" si="127"/>
        <v>0.0023898441059369</v>
      </c>
      <c r="AN154" s="35">
        <f>AN155+AN156+AN157+AN158</f>
        <v>10727.0780615804</v>
      </c>
      <c r="AO154" s="36">
        <f t="shared" si="128"/>
        <v>-0.129948675719221</v>
      </c>
      <c r="AP154" s="35">
        <f>AP155+AP156+AP157+AP158</f>
        <v>10482.8216834665</v>
      </c>
      <c r="AQ154" s="36">
        <f t="shared" si="129"/>
        <v>-0.132742740552603</v>
      </c>
      <c r="AR154" s="35">
        <f>AR155+AR156+AR157+AR158</f>
        <v>9906.64656313465</v>
      </c>
      <c r="AS154" s="36">
        <f t="shared" si="130"/>
        <v>-0.128244395471548</v>
      </c>
      <c r="AT154" s="35">
        <f t="shared" si="131"/>
        <v>134798.411150834</v>
      </c>
      <c r="AU154" s="36">
        <f t="shared" si="132"/>
        <v>0.0900385422177408</v>
      </c>
      <c r="AV154" s="37"/>
      <c r="AW154" s="38">
        <f>AW155+AW156+AW157+AW158</f>
        <v>9955.28080913146</v>
      </c>
      <c r="AX154" s="37"/>
      <c r="AY154" s="38">
        <f>AY155+AY156+AY157+AY158</f>
        <v>8982.86344941925</v>
      </c>
      <c r="AZ154" s="37"/>
      <c r="BA154" s="38">
        <f>BA155+BA156+BA157+BA158</f>
        <v>9392.94378338058</v>
      </c>
      <c r="BB154" s="37"/>
      <c r="BC154" s="38">
        <f>BC155+BC156+BC157+BC158</f>
        <v>10218.4870851852</v>
      </c>
      <c r="BD154" s="37"/>
      <c r="BE154" s="38">
        <f>BE155+BE156+BE157+BE158</f>
        <v>10371.6852089922</v>
      </c>
      <c r="BF154" s="37"/>
      <c r="BG154" s="38">
        <f>BG155+BG156+BG157+BG158</f>
        <v>9749.19761259771</v>
      </c>
      <c r="BH154" s="37"/>
      <c r="BI154" s="38">
        <f>BI155+BI156+BI157+BI158</f>
        <v>9459.08964612641</v>
      </c>
      <c r="BJ154" s="37"/>
      <c r="BK154" s="38">
        <f>BK155+BK156+BK157+BK158</f>
        <v>9738.71023416846</v>
      </c>
      <c r="BL154" s="37"/>
      <c r="BM154" s="38">
        <f>BM155+BM156+BM157+BM158</f>
        <v>10015.0443664792</v>
      </c>
      <c r="BN154" s="37"/>
      <c r="BO154" s="38">
        <f>BO155+BO156+BO157+BO158</f>
        <v>12329.2474388771</v>
      </c>
      <c r="BP154" s="37"/>
      <c r="BQ154" s="38">
        <f>BQ155+BQ156+BQ157+BQ158</f>
        <v>12087.326533474</v>
      </c>
      <c r="BR154" s="37"/>
      <c r="BS154" s="38">
        <f>BS155+BS156+BS157+BS158</f>
        <v>11364.0182083984</v>
      </c>
      <c r="BT154" s="37"/>
      <c r="BU154" s="38">
        <f t="shared" si="133"/>
        <v>123663.89437623</v>
      </c>
      <c r="BV154" s="37"/>
      <c r="BW154" s="39"/>
      <c r="BX154" s="44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</row>
    <row r="155" ht="28.8" customHeight="1" spans="1:88">
      <c r="A155" s="45"/>
      <c r="B155" s="34" t="s">
        <v>301</v>
      </c>
      <c r="C155" s="35">
        <f>班线包车!C43</f>
        <v>4330.6841</v>
      </c>
      <c r="D155" s="36">
        <f t="shared" si="110"/>
        <v>-0.180909556305246</v>
      </c>
      <c r="E155" s="35">
        <f>班线包车!E43</f>
        <v>5973.8076</v>
      </c>
      <c r="F155" s="36">
        <f t="shared" si="111"/>
        <v>0.0381535273105909</v>
      </c>
      <c r="G155" s="35">
        <f>班线包车!G43</f>
        <v>6126.3787</v>
      </c>
      <c r="H155" s="36">
        <f t="shared" si="112"/>
        <v>-0.00233761980287239</v>
      </c>
      <c r="I155" s="35">
        <f>班线包车!I43</f>
        <v>6709.8015</v>
      </c>
      <c r="J155" s="36">
        <f t="shared" si="113"/>
        <v>0.0652986250572951</v>
      </c>
      <c r="K155" s="35">
        <f>班线包车!K43</f>
        <v>6422.9636</v>
      </c>
      <c r="L155" s="36">
        <f t="shared" si="114"/>
        <v>0.0791398398593102</v>
      </c>
      <c r="M155" s="35">
        <f>班线包车!M43</f>
        <v>5719.9664</v>
      </c>
      <c r="N155" s="36">
        <f t="shared" si="115"/>
        <v>-0.0154656453152844</v>
      </c>
      <c r="O155" s="35">
        <f>班线包车!O43</f>
        <v>5215.5597</v>
      </c>
      <c r="P155" s="36">
        <f t="shared" si="116"/>
        <v>-1.4609915542696e-5</v>
      </c>
      <c r="Q155" s="127"/>
      <c r="R155" s="127"/>
      <c r="S155" s="131">
        <f t="shared" si="117"/>
        <v>40499.1616</v>
      </c>
      <c r="T155" s="132">
        <f t="shared" si="118"/>
        <v>-0.111290690186881</v>
      </c>
      <c r="U155" s="35"/>
      <c r="V155" s="35">
        <f>班线包车!V43</f>
        <v>5287.1867</v>
      </c>
      <c r="W155" s="36">
        <f t="shared" si="119"/>
        <v>0.418697357674891</v>
      </c>
      <c r="X155" s="35">
        <f>班线包车!X43</f>
        <v>5754.2622</v>
      </c>
      <c r="Y155" s="36">
        <f t="shared" si="120"/>
        <v>0.377105338732374</v>
      </c>
      <c r="Z155" s="35">
        <f>班线包车!Z43</f>
        <v>6140.7334</v>
      </c>
      <c r="AA155" s="36">
        <f t="shared" si="121"/>
        <v>0.351694653162898</v>
      </c>
      <c r="AB155" s="35">
        <f>班线包车!AB43</f>
        <v>6298.517</v>
      </c>
      <c r="AC155" s="36">
        <f t="shared" si="122"/>
        <v>0.32306859499254</v>
      </c>
      <c r="AD155" s="35">
        <f>班线包车!AD43</f>
        <v>5951.9289</v>
      </c>
      <c r="AE155" s="36">
        <f t="shared" si="123"/>
        <v>0.221508973590812</v>
      </c>
      <c r="AF155" s="35">
        <f>班线包车!AF43</f>
        <v>5809.819</v>
      </c>
      <c r="AG155" s="36">
        <f t="shared" si="124"/>
        <v>0.308953550505181</v>
      </c>
      <c r="AH155" s="35">
        <f>班线包车!AH43</f>
        <v>5215.6359</v>
      </c>
      <c r="AI155" s="36">
        <f t="shared" si="125"/>
        <v>0.174158422408037</v>
      </c>
      <c r="AJ155" s="35">
        <f>班线包车!AJ43</f>
        <v>5112.6802</v>
      </c>
      <c r="AK155" s="36">
        <f t="shared" si="126"/>
        <v>0.090779363774929</v>
      </c>
      <c r="AL155" s="35">
        <f>班线包车!AL43</f>
        <v>5120.6557</v>
      </c>
      <c r="AM155" s="36">
        <f t="shared" si="127"/>
        <v>0.0510662255654803</v>
      </c>
      <c r="AN155" s="35">
        <f>班线包车!AN43</f>
        <v>5405.8883</v>
      </c>
      <c r="AO155" s="36">
        <f t="shared" si="128"/>
        <v>-0.0713593329920346</v>
      </c>
      <c r="AP155" s="35">
        <f>班线包车!AP43</f>
        <v>5115.4008</v>
      </c>
      <c r="AQ155" s="36">
        <f t="shared" si="129"/>
        <v>-0.128764451796653</v>
      </c>
      <c r="AR155" s="35">
        <f>班线包车!AR43</f>
        <v>4543.3814</v>
      </c>
      <c r="AS155" s="36">
        <f t="shared" si="130"/>
        <v>-0.125755927696944</v>
      </c>
      <c r="AT155" s="35">
        <f t="shared" si="131"/>
        <v>65756.0895</v>
      </c>
      <c r="AU155" s="36">
        <f t="shared" si="132"/>
        <v>0.145363362705337</v>
      </c>
      <c r="AV155" s="37"/>
      <c r="AW155" s="35">
        <v>3726.7897</v>
      </c>
      <c r="AX155" s="36"/>
      <c r="AY155" s="35">
        <v>4178.52</v>
      </c>
      <c r="AZ155" s="36"/>
      <c r="BA155" s="35">
        <v>4542.9886</v>
      </c>
      <c r="BB155" s="36"/>
      <c r="BC155" s="35">
        <v>4760.537</v>
      </c>
      <c r="BD155" s="36"/>
      <c r="BE155" s="35">
        <v>4872.6035</v>
      </c>
      <c r="BF155" s="36"/>
      <c r="BG155" s="35">
        <v>4438.5219</v>
      </c>
      <c r="BH155" s="36"/>
      <c r="BI155" s="35">
        <v>4442.0206</v>
      </c>
      <c r="BJ155" s="36"/>
      <c r="BK155" s="35">
        <v>4687.1809</v>
      </c>
      <c r="BL155" s="36"/>
      <c r="BM155" s="35">
        <v>4871.8678</v>
      </c>
      <c r="BN155" s="36"/>
      <c r="BO155" s="35">
        <v>5821.2918</v>
      </c>
      <c r="BP155" s="36"/>
      <c r="BQ155" s="35">
        <v>5871.4326</v>
      </c>
      <c r="BR155" s="36"/>
      <c r="BS155" s="35">
        <v>5196.9256</v>
      </c>
      <c r="BT155" s="36"/>
      <c r="BU155" s="35">
        <f t="shared" si="133"/>
        <v>57410.68</v>
      </c>
      <c r="BV155" s="36"/>
      <c r="BW155" s="40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7"/>
    </row>
    <row r="156" ht="28.8" customHeight="1" spans="1:88">
      <c r="A156" s="45"/>
      <c r="B156" s="34" t="s">
        <v>302</v>
      </c>
      <c r="C156" s="35">
        <f>公交!C50-公交!C52</f>
        <v>4344.69</v>
      </c>
      <c r="D156" s="36">
        <f t="shared" si="110"/>
        <v>-0.201920303898103</v>
      </c>
      <c r="E156" s="35">
        <f>公交!E50-公交!E52</f>
        <v>4041.1</v>
      </c>
      <c r="F156" s="36">
        <f t="shared" si="111"/>
        <v>-0.212950069042884</v>
      </c>
      <c r="G156" s="35">
        <f>公交!G50-公交!G52</f>
        <v>4617.24</v>
      </c>
      <c r="H156" s="36">
        <f t="shared" si="112"/>
        <v>-0.161855041315113</v>
      </c>
      <c r="I156" s="35">
        <f>公交!I50-公交!I52</f>
        <v>4796.78</v>
      </c>
      <c r="J156" s="36">
        <f t="shared" si="113"/>
        <v>-0.168258151773406</v>
      </c>
      <c r="K156" s="35">
        <f>公交!K50-公交!K52</f>
        <v>4871.22</v>
      </c>
      <c r="L156" s="36">
        <f t="shared" si="114"/>
        <v>-0.14633154697856</v>
      </c>
      <c r="M156" s="35">
        <f>公交!M50-公交!M52</f>
        <v>4476.01</v>
      </c>
      <c r="N156" s="36">
        <f t="shared" si="115"/>
        <v>-0.187423980016048</v>
      </c>
      <c r="O156" s="35">
        <f>公交!O50-公交!O52</f>
        <v>4081.5</v>
      </c>
      <c r="P156" s="36">
        <f t="shared" si="116"/>
        <v>0.0465733473167051</v>
      </c>
      <c r="Q156" s="127"/>
      <c r="R156" s="127"/>
      <c r="S156" s="131">
        <f t="shared" si="117"/>
        <v>31228.54</v>
      </c>
      <c r="T156" s="132">
        <f t="shared" si="118"/>
        <v>-0.228759835747554</v>
      </c>
      <c r="U156" s="35"/>
      <c r="V156" s="35">
        <f>公交!V50-公交!V52</f>
        <v>5443.93</v>
      </c>
      <c r="W156" s="36">
        <f t="shared" si="119"/>
        <v>0.156459709266879</v>
      </c>
      <c r="X156" s="35">
        <f>公交!X50-公交!X52</f>
        <v>5134.49</v>
      </c>
      <c r="Y156" s="36">
        <f t="shared" si="120"/>
        <v>0.272188704022597</v>
      </c>
      <c r="Z156" s="35">
        <f>公交!Z50-公交!Z52</f>
        <v>5508.88</v>
      </c>
      <c r="AA156" s="36">
        <f t="shared" si="121"/>
        <v>0.365547978652468</v>
      </c>
      <c r="AB156" s="35">
        <f>公交!AB50-公交!AB52</f>
        <v>5767.15</v>
      </c>
      <c r="AC156" s="36">
        <f t="shared" si="122"/>
        <v>0.291614689131414</v>
      </c>
      <c r="AD156" s="35">
        <f>公交!AD50-公交!AD52</f>
        <v>5706.22</v>
      </c>
      <c r="AE156" s="36">
        <f t="shared" si="123"/>
        <v>0.269688197428235</v>
      </c>
      <c r="AF156" s="35">
        <f>公交!AF50-公交!AF52</f>
        <v>5508.42</v>
      </c>
      <c r="AG156" s="36">
        <f t="shared" si="124"/>
        <v>0.300296486540078</v>
      </c>
      <c r="AH156" s="35">
        <f>公交!AH50-公交!AH52</f>
        <v>3899.87</v>
      </c>
      <c r="AI156" s="36">
        <f t="shared" si="125"/>
        <v>-0.00198075038194701</v>
      </c>
      <c r="AJ156" s="35">
        <f>公交!AJ50-公交!AJ52</f>
        <v>3522.37</v>
      </c>
      <c r="AK156" s="36">
        <f t="shared" si="126"/>
        <v>-0.121914434290102</v>
      </c>
      <c r="AL156" s="35">
        <f>公交!AL50-公交!AL52</f>
        <v>4052.78</v>
      </c>
      <c r="AM156" s="36">
        <f t="shared" si="127"/>
        <v>-0.0115749321990908</v>
      </c>
      <c r="AN156" s="35">
        <f>公交!AN50-公交!AN52</f>
        <v>4338.11</v>
      </c>
      <c r="AO156" s="36">
        <f t="shared" si="128"/>
        <v>-0.190078432324349</v>
      </c>
      <c r="AP156" s="35">
        <f>公交!AP50-公交!AP52</f>
        <v>4413.38</v>
      </c>
      <c r="AQ156" s="36">
        <f t="shared" si="129"/>
        <v>-0.139168461130356</v>
      </c>
      <c r="AR156" s="35">
        <f>公交!AR50-公交!AR52</f>
        <v>4271.8</v>
      </c>
      <c r="AS156" s="36">
        <f t="shared" si="130"/>
        <v>-0.18330280771922</v>
      </c>
      <c r="AT156" s="35">
        <f t="shared" si="131"/>
        <v>57567.4</v>
      </c>
      <c r="AU156" s="36">
        <f t="shared" si="132"/>
        <v>0.0718982579795975</v>
      </c>
      <c r="AV156" s="37"/>
      <c r="AW156" s="35">
        <v>4707.41</v>
      </c>
      <c r="AX156" s="36"/>
      <c r="AY156" s="35">
        <v>4035.95</v>
      </c>
      <c r="AZ156" s="36"/>
      <c r="BA156" s="35">
        <v>4034.19</v>
      </c>
      <c r="BB156" s="36"/>
      <c r="BC156" s="35">
        <v>4465.07</v>
      </c>
      <c r="BD156" s="36"/>
      <c r="BE156" s="35">
        <v>4494.19</v>
      </c>
      <c r="BF156" s="36"/>
      <c r="BG156" s="35">
        <v>4236.28</v>
      </c>
      <c r="BH156" s="36"/>
      <c r="BI156" s="35">
        <v>3907.61</v>
      </c>
      <c r="BJ156" s="36"/>
      <c r="BK156" s="35">
        <v>4011.42</v>
      </c>
      <c r="BL156" s="36"/>
      <c r="BM156" s="35">
        <v>4100.24</v>
      </c>
      <c r="BN156" s="36"/>
      <c r="BO156" s="35">
        <v>5356.21</v>
      </c>
      <c r="BP156" s="36"/>
      <c r="BQ156" s="35">
        <v>5126.88</v>
      </c>
      <c r="BR156" s="36"/>
      <c r="BS156" s="35">
        <v>5230.58</v>
      </c>
      <c r="BT156" s="36"/>
      <c r="BU156" s="35">
        <f t="shared" si="133"/>
        <v>53706.03</v>
      </c>
      <c r="BV156" s="36"/>
      <c r="BW156" s="40"/>
      <c r="BX156" s="49"/>
      <c r="BY156" s="49"/>
      <c r="BZ156" s="49"/>
      <c r="CA156" s="49"/>
      <c r="CB156" s="49"/>
      <c r="CC156" s="49"/>
      <c r="CD156" s="50"/>
      <c r="CE156" s="49"/>
      <c r="CF156" s="50"/>
      <c r="CG156" s="50"/>
      <c r="CH156" s="50"/>
      <c r="CI156" s="50"/>
      <c r="CJ156" s="47"/>
    </row>
    <row r="157" ht="28.8" customHeight="1" spans="1:88">
      <c r="A157" s="45"/>
      <c r="B157" s="34" t="s">
        <v>303</v>
      </c>
      <c r="C157" s="35">
        <f>出租!C50-出租!C52</f>
        <v>566.35</v>
      </c>
      <c r="D157" s="36">
        <f t="shared" si="110"/>
        <v>-0.111719313654757</v>
      </c>
      <c r="E157" s="35">
        <f>出租!E50-出租!E52</f>
        <v>554.25</v>
      </c>
      <c r="F157" s="36">
        <f t="shared" si="111"/>
        <v>-0.103416480636708</v>
      </c>
      <c r="G157" s="35">
        <f>出租!G50-出租!G52</f>
        <v>558.67</v>
      </c>
      <c r="H157" s="36">
        <f t="shared" si="112"/>
        <v>-0.0340946420235482</v>
      </c>
      <c r="I157" s="35">
        <f>出租!I50-出租!I52</f>
        <v>550.89</v>
      </c>
      <c r="J157" s="36">
        <f t="shared" si="113"/>
        <v>-0.036855079811878</v>
      </c>
      <c r="K157" s="35">
        <f>出租!K50-出租!K52</f>
        <v>591.47</v>
      </c>
      <c r="L157" s="36">
        <f t="shared" si="114"/>
        <v>0.034816382945221</v>
      </c>
      <c r="M157" s="35">
        <f>出租!M50-出租!M52</f>
        <v>553.09</v>
      </c>
      <c r="N157" s="36">
        <f t="shared" si="115"/>
        <v>-0.0322134733158357</v>
      </c>
      <c r="O157" s="35">
        <f>出租!O50-出租!O52</f>
        <v>455.65</v>
      </c>
      <c r="P157" s="36">
        <f t="shared" si="116"/>
        <v>-0.216692453154547</v>
      </c>
      <c r="Q157" s="127"/>
      <c r="R157" s="127"/>
      <c r="S157" s="131">
        <f t="shared" si="117"/>
        <v>3830.37</v>
      </c>
      <c r="T157" s="132">
        <f t="shared" si="118"/>
        <v>-0.186063264187268</v>
      </c>
      <c r="U157" s="35"/>
      <c r="V157" s="35">
        <f>出租!V50-出租!V52</f>
        <v>637.58</v>
      </c>
      <c r="W157" s="36">
        <f t="shared" si="119"/>
        <v>-0.433845989912623</v>
      </c>
      <c r="X157" s="35">
        <f>出租!X50-出租!X52</f>
        <v>618.18</v>
      </c>
      <c r="Y157" s="36">
        <f t="shared" si="120"/>
        <v>0.200722554580063</v>
      </c>
      <c r="Z157" s="35">
        <f>出租!Z50-出租!Z52</f>
        <v>578.39</v>
      </c>
      <c r="AA157" s="36">
        <f t="shared" si="121"/>
        <v>0.173442889024143</v>
      </c>
      <c r="AB157" s="35">
        <f>出租!AB50-出租!AB52</f>
        <v>571.97</v>
      </c>
      <c r="AC157" s="36">
        <f t="shared" si="122"/>
        <v>-0.0400610902255641</v>
      </c>
      <c r="AD157" s="35">
        <f>出租!AD50-出租!AD52</f>
        <v>571.57</v>
      </c>
      <c r="AE157" s="36">
        <f t="shared" si="123"/>
        <v>-0.0435735680460503</v>
      </c>
      <c r="AF157" s="35">
        <f>出租!AF50-出租!AF52</f>
        <v>571.5</v>
      </c>
      <c r="AG157" s="36">
        <f t="shared" si="124"/>
        <v>-0.0417183674838191</v>
      </c>
      <c r="AH157" s="35">
        <f>出租!AH50-出租!AH52</f>
        <v>581.7</v>
      </c>
      <c r="AI157" s="36">
        <f t="shared" si="125"/>
        <v>-0.0285246668225392</v>
      </c>
      <c r="AJ157" s="35">
        <f>出租!AJ50-出租!AJ52</f>
        <v>575.09</v>
      </c>
      <c r="AK157" s="36">
        <f t="shared" si="126"/>
        <v>0.0320513970891732</v>
      </c>
      <c r="AL157" s="35">
        <f>出租!AL50-出租!AL52</f>
        <v>563.44</v>
      </c>
      <c r="AM157" s="36">
        <f t="shared" si="127"/>
        <v>0.0089896493678594</v>
      </c>
      <c r="AN157" s="35">
        <f>出租!AN50-出租!AN52</f>
        <v>558.33</v>
      </c>
      <c r="AO157" s="36">
        <f t="shared" si="128"/>
        <v>-0.119381092079114</v>
      </c>
      <c r="AP157" s="35">
        <f>出租!AP50-出租!AP52</f>
        <v>531.37</v>
      </c>
      <c r="AQ157" s="36">
        <f t="shared" si="129"/>
        <v>-0.0696163745557051</v>
      </c>
      <c r="AR157" s="35">
        <f>出租!AR50-出租!AR52</f>
        <v>545.64</v>
      </c>
      <c r="AS157" s="36">
        <f t="shared" si="130"/>
        <v>0.183831984552299</v>
      </c>
      <c r="AT157" s="35">
        <f t="shared" si="131"/>
        <v>6904.76</v>
      </c>
      <c r="AU157" s="36">
        <f t="shared" si="132"/>
        <v>-0.054688933246808</v>
      </c>
      <c r="AV157" s="37"/>
      <c r="AW157" s="35">
        <v>1126.16</v>
      </c>
      <c r="AX157" s="36"/>
      <c r="AY157" s="35">
        <v>514.84</v>
      </c>
      <c r="AZ157" s="36"/>
      <c r="BA157" s="35">
        <v>492.9</v>
      </c>
      <c r="BB157" s="36"/>
      <c r="BC157" s="35">
        <v>595.84</v>
      </c>
      <c r="BD157" s="36"/>
      <c r="BE157" s="35">
        <v>597.61</v>
      </c>
      <c r="BF157" s="36"/>
      <c r="BG157" s="35">
        <v>596.38</v>
      </c>
      <c r="BH157" s="36"/>
      <c r="BI157" s="35">
        <v>598.78</v>
      </c>
      <c r="BJ157" s="36"/>
      <c r="BK157" s="35">
        <v>557.23</v>
      </c>
      <c r="BL157" s="36"/>
      <c r="BM157" s="35">
        <v>558.42</v>
      </c>
      <c r="BN157" s="36"/>
      <c r="BO157" s="35">
        <v>634.02</v>
      </c>
      <c r="BP157" s="36"/>
      <c r="BQ157" s="35">
        <v>571.13</v>
      </c>
      <c r="BR157" s="36"/>
      <c r="BS157" s="35">
        <v>460.91</v>
      </c>
      <c r="BT157" s="36"/>
      <c r="BU157" s="35">
        <f t="shared" si="133"/>
        <v>7304.22</v>
      </c>
      <c r="BV157" s="36"/>
      <c r="BW157" s="40"/>
      <c r="BX157" s="49"/>
      <c r="BY157" s="49"/>
      <c r="BZ157" s="49"/>
      <c r="CA157" s="49"/>
      <c r="CB157" s="49"/>
      <c r="CC157" s="49"/>
      <c r="CD157" s="50"/>
      <c r="CE157" s="49"/>
      <c r="CF157" s="50"/>
      <c r="CG157" s="50"/>
      <c r="CH157" s="50"/>
      <c r="CI157" s="50"/>
      <c r="CJ157" s="47"/>
    </row>
    <row r="158" ht="28.8" customHeight="1" spans="1:88">
      <c r="A158" s="29"/>
      <c r="B158" s="34" t="s">
        <v>304</v>
      </c>
      <c r="C158" s="35">
        <f>网约车!C50-网约车!C52</f>
        <v>432.136910830279</v>
      </c>
      <c r="D158" s="36">
        <f t="shared" si="110"/>
        <v>-0.165094813454933</v>
      </c>
      <c r="E158" s="35">
        <f>网约车!E50-网约车!E52</f>
        <v>323.771530884959</v>
      </c>
      <c r="F158" s="36">
        <f t="shared" si="111"/>
        <v>0.0200537425511502</v>
      </c>
      <c r="G158" s="35">
        <f>网约车!G50-网约车!G52</f>
        <v>376.676785704294</v>
      </c>
      <c r="H158" s="36">
        <f t="shared" si="112"/>
        <v>0.135649835085258</v>
      </c>
      <c r="I158" s="35">
        <f>网约车!I50-网约车!I52</f>
        <v>339.509446892303</v>
      </c>
      <c r="J158" s="36">
        <f t="shared" si="113"/>
        <v>0.00244389125537325</v>
      </c>
      <c r="K158" s="35">
        <f>网约车!K50-网约车!K52</f>
        <v>420.376529602005</v>
      </c>
      <c r="L158" s="36">
        <f t="shared" si="114"/>
        <v>0.17191907464783</v>
      </c>
      <c r="M158" s="35">
        <f>网约车!M50-网约车!M52</f>
        <v>428.762778356815</v>
      </c>
      <c r="N158" s="36">
        <f t="shared" si="115"/>
        <v>0.248827641289644</v>
      </c>
      <c r="O158" s="35">
        <f>网约车!O50-网约车!O52</f>
        <v>358.630466981413</v>
      </c>
      <c r="P158" s="36">
        <f t="shared" si="116"/>
        <v>0.0620059685515157</v>
      </c>
      <c r="Q158" s="127"/>
      <c r="R158" s="127"/>
      <c r="S158" s="131">
        <f t="shared" si="117"/>
        <v>2679.86444925207</v>
      </c>
      <c r="T158" s="132">
        <f t="shared" si="118"/>
        <v>-0.0678125314564013</v>
      </c>
      <c r="U158" s="35"/>
      <c r="V158" s="35">
        <f>网约车!V50-网约车!V52</f>
        <v>517.588006152544</v>
      </c>
      <c r="W158" s="36">
        <f t="shared" si="119"/>
        <v>0.31061114279471</v>
      </c>
      <c r="X158" s="35">
        <f>网约车!X50-网约车!X52</f>
        <v>317.406345743321</v>
      </c>
      <c r="Y158" s="36">
        <f t="shared" si="120"/>
        <v>0.251832094851475</v>
      </c>
      <c r="Z158" s="35">
        <f>网约车!Z50-网约车!Z52</f>
        <v>331.683917055309</v>
      </c>
      <c r="AA158" s="36">
        <f t="shared" si="121"/>
        <v>0.027313981589439</v>
      </c>
      <c r="AB158" s="35">
        <f>网约车!AB50-网约车!AB52</f>
        <v>338.681745536033</v>
      </c>
      <c r="AC158" s="36">
        <f t="shared" si="122"/>
        <v>-0.146983495688916</v>
      </c>
      <c r="AD158" s="35">
        <f>网约车!AD50-网约车!AD52</f>
        <v>358.707814128148</v>
      </c>
      <c r="AE158" s="36">
        <f t="shared" si="123"/>
        <v>-0.119263629550679</v>
      </c>
      <c r="AF158" s="35">
        <f>网约车!AF50-网约车!AF52</f>
        <v>343.332229509301</v>
      </c>
      <c r="AG158" s="36">
        <f t="shared" si="124"/>
        <v>-0.281755347238473</v>
      </c>
      <c r="AH158" s="35">
        <f>网约车!AH50-网约车!AH52</f>
        <v>337.691573871806</v>
      </c>
      <c r="AI158" s="36">
        <f t="shared" si="125"/>
        <v>-0.338740102157591</v>
      </c>
      <c r="AJ158" s="35">
        <f>网约车!AJ50-网约车!AJ52</f>
        <v>329.721149427159</v>
      </c>
      <c r="AK158" s="36">
        <f t="shared" si="126"/>
        <v>-0.317176929936429</v>
      </c>
      <c r="AL158" s="35">
        <f>网约车!AL50-网约车!AL52</f>
        <v>302.103061229134</v>
      </c>
      <c r="AM158" s="36">
        <f t="shared" si="127"/>
        <v>-0.376485589699443</v>
      </c>
      <c r="AN158" s="35">
        <f>网约车!AN50-网约车!AN52</f>
        <v>424.749761580403</v>
      </c>
      <c r="AO158" s="36">
        <f t="shared" si="128"/>
        <v>-0.179585228767743</v>
      </c>
      <c r="AP158" s="35">
        <f>网约车!AP50-网约车!AP52</f>
        <v>422.670883466502</v>
      </c>
      <c r="AQ158" s="36">
        <f t="shared" si="129"/>
        <v>-0.183850171541015</v>
      </c>
      <c r="AR158" s="35">
        <f>网约车!AR50-网约车!AR52</f>
        <v>545.825163134648</v>
      </c>
      <c r="AS158" s="36">
        <f t="shared" si="130"/>
        <v>0.147649641730871</v>
      </c>
      <c r="AT158" s="35">
        <f t="shared" si="131"/>
        <v>4570.16165083431</v>
      </c>
      <c r="AU158" s="36">
        <f t="shared" si="132"/>
        <v>-0.128324870648726</v>
      </c>
      <c r="AV158" s="37"/>
      <c r="AW158" s="35">
        <v>394.921109131465</v>
      </c>
      <c r="AX158" s="36"/>
      <c r="AY158" s="35">
        <v>253.553449419253</v>
      </c>
      <c r="AZ158" s="36"/>
      <c r="BA158" s="35">
        <v>322.865183380581</v>
      </c>
      <c r="BB158" s="36"/>
      <c r="BC158" s="35">
        <v>397.040085185175</v>
      </c>
      <c r="BD158" s="36"/>
      <c r="BE158" s="35">
        <v>407.281708992156</v>
      </c>
      <c r="BF158" s="36"/>
      <c r="BG158" s="35">
        <v>478.015712597717</v>
      </c>
      <c r="BH158" s="36"/>
      <c r="BI158" s="35">
        <v>510.679046126406</v>
      </c>
      <c r="BJ158" s="36"/>
      <c r="BK158" s="35">
        <v>482.879334168457</v>
      </c>
      <c r="BL158" s="36"/>
      <c r="BM158" s="35">
        <v>484.516566479208</v>
      </c>
      <c r="BN158" s="36"/>
      <c r="BO158" s="35">
        <v>517.725638877067</v>
      </c>
      <c r="BP158" s="36"/>
      <c r="BQ158" s="35">
        <v>517.88393347404</v>
      </c>
      <c r="BR158" s="36"/>
      <c r="BS158" s="35">
        <v>475.602608398362</v>
      </c>
      <c r="BT158" s="36"/>
      <c r="BU158" s="35">
        <f t="shared" si="133"/>
        <v>5242.96437622989</v>
      </c>
      <c r="BV158" s="36"/>
      <c r="BW158" s="40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7"/>
    </row>
    <row r="159" s="15" customFormat="1" ht="28.8" customHeight="1" spans="1:88">
      <c r="A159" s="48" t="s">
        <v>104</v>
      </c>
      <c r="B159" s="34" t="s">
        <v>300</v>
      </c>
      <c r="C159" s="35">
        <f>C160+C161+C162+C163</f>
        <v>7095.87676252053</v>
      </c>
      <c r="D159" s="36">
        <f t="shared" si="110"/>
        <v>-0.0580349485812642</v>
      </c>
      <c r="E159" s="35">
        <f>E160+E161+E162+E163</f>
        <v>7434.48957774369</v>
      </c>
      <c r="F159" s="36">
        <f t="shared" si="111"/>
        <v>-0.0323726073085912</v>
      </c>
      <c r="G159" s="35">
        <f>G160+G161+G162+G163</f>
        <v>7420.3952870259</v>
      </c>
      <c r="H159" s="36">
        <f t="shared" si="112"/>
        <v>-0.030652556800021</v>
      </c>
      <c r="I159" s="35">
        <f>I160+I161+I162+I163</f>
        <v>7649.01636919679</v>
      </c>
      <c r="J159" s="36">
        <f t="shared" si="113"/>
        <v>-0.0375894783244444</v>
      </c>
      <c r="K159" s="35">
        <f>K160+K161+K162+K163</f>
        <v>7656.45766086237</v>
      </c>
      <c r="L159" s="36">
        <f t="shared" si="114"/>
        <v>-0.0327206773593286</v>
      </c>
      <c r="M159" s="35">
        <f>M160+M161+M162+M163</f>
        <v>7394.32586467529</v>
      </c>
      <c r="N159" s="36">
        <f t="shared" si="115"/>
        <v>-0.0340176765270522</v>
      </c>
      <c r="O159" s="35">
        <f>O160+O161+O162+O163</f>
        <v>7250.78987027164</v>
      </c>
      <c r="P159" s="36">
        <f t="shared" si="116"/>
        <v>-0.0349132721002835</v>
      </c>
      <c r="Q159" s="127"/>
      <c r="R159" s="127"/>
      <c r="S159" s="131">
        <f t="shared" si="117"/>
        <v>51901.3513922962</v>
      </c>
      <c r="T159" s="132">
        <f t="shared" si="118"/>
        <v>-0.150049718658087</v>
      </c>
      <c r="U159" s="35"/>
      <c r="V159" s="35">
        <f>V160+V161+V162+V163</f>
        <v>7533.05735901041</v>
      </c>
      <c r="W159" s="36">
        <f t="shared" si="119"/>
        <v>0.0551521263473547</v>
      </c>
      <c r="X159" s="35">
        <f>X160+X161+X162+X163</f>
        <v>7683.21528916726</v>
      </c>
      <c r="Y159" s="36">
        <f t="shared" si="120"/>
        <v>0.0473544049193451</v>
      </c>
      <c r="Z159" s="35">
        <f>Z160+Z161+Z162+Z163</f>
        <v>7655.0418934721</v>
      </c>
      <c r="AA159" s="36">
        <f t="shared" si="121"/>
        <v>0.0449610034126495</v>
      </c>
      <c r="AB159" s="35">
        <f>AB160+AB161+AB162+AB163</f>
        <v>7947.76885427214</v>
      </c>
      <c r="AC159" s="36">
        <f t="shared" si="122"/>
        <v>0.0346160958450923</v>
      </c>
      <c r="AD159" s="35">
        <f>AD160+AD161+AD162+AD163</f>
        <v>7915.4567679171</v>
      </c>
      <c r="AE159" s="36">
        <f t="shared" si="123"/>
        <v>-0.00454554646943872</v>
      </c>
      <c r="AF159" s="35">
        <f>AF160+AF161+AF162+AF163</f>
        <v>7654.72171177092</v>
      </c>
      <c r="AG159" s="36">
        <f t="shared" si="124"/>
        <v>0.00293719852104934</v>
      </c>
      <c r="AH159" s="35">
        <f>AH160+AH161+AH162+AH163</f>
        <v>7513.09665821566</v>
      </c>
      <c r="AI159" s="36">
        <f t="shared" si="125"/>
        <v>-0.0131369404669159</v>
      </c>
      <c r="AJ159" s="35">
        <f>AJ160+AJ161+AJ162+AJ163</f>
        <v>7161.62665640656</v>
      </c>
      <c r="AK159" s="36">
        <f t="shared" si="126"/>
        <v>-0.0370940508667669</v>
      </c>
      <c r="AL159" s="35">
        <f>AL160+AL161+AL162+AL163</f>
        <v>7093.19777805973</v>
      </c>
      <c r="AM159" s="36">
        <f t="shared" si="127"/>
        <v>-0.00938489782357832</v>
      </c>
      <c r="AN159" s="35">
        <f>AN160+AN161+AN162+AN163</f>
        <v>7497.97982113025</v>
      </c>
      <c r="AO159" s="36">
        <f t="shared" si="128"/>
        <v>-0.0193565484146726</v>
      </c>
      <c r="AP159" s="35">
        <f>AP160+AP161+AP162+AP163</f>
        <v>7292.5046673586</v>
      </c>
      <c r="AQ159" s="36">
        <f t="shared" si="129"/>
        <v>-0.0186716343847985</v>
      </c>
      <c r="AR159" s="35">
        <f>AR160+AR161+AR162+AR163</f>
        <v>7178.04447536046</v>
      </c>
      <c r="AS159" s="36">
        <f t="shared" si="130"/>
        <v>-0.005861673435551</v>
      </c>
      <c r="AT159" s="35">
        <f t="shared" si="131"/>
        <v>90125.7119321412</v>
      </c>
      <c r="AU159" s="36">
        <f t="shared" si="132"/>
        <v>0.00614582538460318</v>
      </c>
      <c r="AV159" s="37"/>
      <c r="AW159" s="38">
        <f>AW160+AW161+AW162+AW163</f>
        <v>7139.30927200779</v>
      </c>
      <c r="AX159" s="37"/>
      <c r="AY159" s="38">
        <f>AY160+AY161+AY162+AY163</f>
        <v>7335.83136050202</v>
      </c>
      <c r="AZ159" s="37"/>
      <c r="BA159" s="38">
        <f>BA160+BA161+BA162+BA163</f>
        <v>7325.67231549517</v>
      </c>
      <c r="BB159" s="37"/>
      <c r="BC159" s="38">
        <f>BC160+BC161+BC162+BC163</f>
        <v>7681.85309139258</v>
      </c>
      <c r="BD159" s="37"/>
      <c r="BE159" s="38">
        <f>BE160+BE161+BE162+BE163</f>
        <v>7951.60114040726</v>
      </c>
      <c r="BF159" s="37"/>
      <c r="BG159" s="38">
        <f>BG160+BG161+BG162+BG163</f>
        <v>7632.30411939922</v>
      </c>
      <c r="BH159" s="37"/>
      <c r="BI159" s="38">
        <f>BI160+BI161+BI162+BI163</f>
        <v>7613.10962614239</v>
      </c>
      <c r="BJ159" s="37"/>
      <c r="BK159" s="38">
        <f>BK160+BK161+BK162+BK163</f>
        <v>7437.5141859422</v>
      </c>
      <c r="BL159" s="37"/>
      <c r="BM159" s="38">
        <f>BM160+BM161+BM162+BM163</f>
        <v>7160.39737580791</v>
      </c>
      <c r="BN159" s="37"/>
      <c r="BO159" s="38">
        <f>BO160+BO161+BO162+BO163</f>
        <v>7645.97959534515</v>
      </c>
      <c r="BP159" s="37"/>
      <c r="BQ159" s="38">
        <f>BQ160+BQ161+BQ162+BQ163</f>
        <v>7431.25840735979</v>
      </c>
      <c r="BR159" s="37"/>
      <c r="BS159" s="38">
        <f>BS160+BS161+BS162+BS163</f>
        <v>7220.36791415778</v>
      </c>
      <c r="BT159" s="37"/>
      <c r="BU159" s="38">
        <f t="shared" si="133"/>
        <v>89575.1984039593</v>
      </c>
      <c r="BV159" s="37"/>
      <c r="BW159" s="39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</row>
    <row r="160" ht="28.8" customHeight="1" spans="1:88">
      <c r="A160" s="45"/>
      <c r="B160" s="34" t="s">
        <v>301</v>
      </c>
      <c r="C160" s="35">
        <f>班线包车!C45</f>
        <v>6018.7633</v>
      </c>
      <c r="D160" s="36">
        <f t="shared" si="110"/>
        <v>-0.0877542062490159</v>
      </c>
      <c r="E160" s="35">
        <f>班线包车!E45</f>
        <v>6370.467</v>
      </c>
      <c r="F160" s="36">
        <f t="shared" si="111"/>
        <v>-0.0544902306761915</v>
      </c>
      <c r="G160" s="35">
        <f>班线包车!G45</f>
        <v>6382.2507</v>
      </c>
      <c r="H160" s="36">
        <f t="shared" si="112"/>
        <v>-0.0547271627195128</v>
      </c>
      <c r="I160" s="35">
        <f>班线包车!I45</f>
        <v>6638.9771</v>
      </c>
      <c r="J160" s="36">
        <f t="shared" si="113"/>
        <v>-0.0598665161617136</v>
      </c>
      <c r="K160" s="35">
        <f>班线包车!K45</f>
        <v>6644.3877</v>
      </c>
      <c r="L160" s="36">
        <f t="shared" si="114"/>
        <v>-0.05579188354961</v>
      </c>
      <c r="M160" s="35">
        <f>班线包车!M45</f>
        <v>6426.1171</v>
      </c>
      <c r="N160" s="36">
        <f t="shared" si="115"/>
        <v>-0.0595861054257059</v>
      </c>
      <c r="O160" s="35">
        <f>班线包车!O45</f>
        <v>6325.9991</v>
      </c>
      <c r="P160" s="36">
        <f t="shared" si="116"/>
        <v>-0.0582913985640058</v>
      </c>
      <c r="Q160" s="127"/>
      <c r="R160" s="127"/>
      <c r="S160" s="131">
        <f t="shared" si="117"/>
        <v>44806.962</v>
      </c>
      <c r="T160" s="132">
        <f t="shared" si="118"/>
        <v>-0.171712994477105</v>
      </c>
      <c r="U160" s="35"/>
      <c r="V160" s="35">
        <f>班线包车!V45</f>
        <v>6597.743</v>
      </c>
      <c r="W160" s="36">
        <f t="shared" si="119"/>
        <v>0.0748073905318649</v>
      </c>
      <c r="X160" s="35">
        <f>班线包车!X45</f>
        <v>6737.6004</v>
      </c>
      <c r="Y160" s="36">
        <f t="shared" si="120"/>
        <v>0.0647162419817198</v>
      </c>
      <c r="Z160" s="35">
        <f>班线包车!Z45</f>
        <v>6751.7551</v>
      </c>
      <c r="AA160" s="36">
        <f t="shared" si="121"/>
        <v>0.0699416361481104</v>
      </c>
      <c r="AB160" s="35">
        <f>班线包车!AB45</f>
        <v>7061.7388</v>
      </c>
      <c r="AC160" s="36">
        <f t="shared" si="122"/>
        <v>0.0446439374290464</v>
      </c>
      <c r="AD160" s="35">
        <f>班线包车!AD45</f>
        <v>7036.9949</v>
      </c>
      <c r="AE160" s="36">
        <f t="shared" si="123"/>
        <v>-0.00495462818887393</v>
      </c>
      <c r="AF160" s="35">
        <f>班线包车!AF45</f>
        <v>6833.286</v>
      </c>
      <c r="AG160" s="36">
        <f t="shared" si="124"/>
        <v>0.0127860780453517</v>
      </c>
      <c r="AH160" s="35">
        <f>班线包车!AH45</f>
        <v>6717.576</v>
      </c>
      <c r="AI160" s="36">
        <f t="shared" si="125"/>
        <v>-0.00635451103809681</v>
      </c>
      <c r="AJ160" s="35">
        <f>班线包车!AJ45</f>
        <v>6359.2432</v>
      </c>
      <c r="AK160" s="36">
        <f t="shared" si="126"/>
        <v>-0.0418301462308058</v>
      </c>
      <c r="AL160" s="35">
        <f>班线包车!AL45</f>
        <v>6290.8263</v>
      </c>
      <c r="AM160" s="36">
        <f t="shared" si="127"/>
        <v>-0.0136180444863491</v>
      </c>
      <c r="AN160" s="35">
        <f>班线包车!AN45</f>
        <v>6607.9652</v>
      </c>
      <c r="AO160" s="36">
        <f t="shared" si="128"/>
        <v>-0.0254421121069575</v>
      </c>
      <c r="AP160" s="35">
        <f>班线包车!AP45</f>
        <v>6390.1947</v>
      </c>
      <c r="AQ160" s="36">
        <f t="shared" si="129"/>
        <v>-0.026391779681641</v>
      </c>
      <c r="AR160" s="35">
        <f>班线包车!AR45</f>
        <v>6195.4234</v>
      </c>
      <c r="AS160" s="36">
        <f t="shared" si="130"/>
        <v>-0.0105336230757113</v>
      </c>
      <c r="AT160" s="35">
        <f t="shared" si="131"/>
        <v>79580.347</v>
      </c>
      <c r="AU160" s="36">
        <f t="shared" si="132"/>
        <v>0.0107192969185781</v>
      </c>
      <c r="AV160" s="37"/>
      <c r="AW160" s="35">
        <v>6138.5352</v>
      </c>
      <c r="AX160" s="36"/>
      <c r="AY160" s="35">
        <v>6328.0714</v>
      </c>
      <c r="AZ160" s="36"/>
      <c r="BA160" s="35">
        <v>6310.3957</v>
      </c>
      <c r="BB160" s="36"/>
      <c r="BC160" s="35">
        <v>6759.9481</v>
      </c>
      <c r="BD160" s="36"/>
      <c r="BE160" s="35">
        <v>7072.0342</v>
      </c>
      <c r="BF160" s="36"/>
      <c r="BG160" s="35">
        <v>6747.0181</v>
      </c>
      <c r="BH160" s="36"/>
      <c r="BI160" s="35">
        <v>6760.5359</v>
      </c>
      <c r="BJ160" s="36"/>
      <c r="BK160" s="35">
        <v>6636.8642</v>
      </c>
      <c r="BL160" s="36"/>
      <c r="BM160" s="35">
        <v>6377.6778</v>
      </c>
      <c r="BN160" s="36"/>
      <c r="BO160" s="35">
        <v>6780.4748</v>
      </c>
      <c r="BP160" s="36"/>
      <c r="BQ160" s="35">
        <v>6563.4149</v>
      </c>
      <c r="BR160" s="36"/>
      <c r="BS160" s="35">
        <v>6261.3784</v>
      </c>
      <c r="BT160" s="36"/>
      <c r="BU160" s="35">
        <f t="shared" si="133"/>
        <v>78736.3487</v>
      </c>
      <c r="BV160" s="36"/>
      <c r="BW160" s="40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7"/>
    </row>
    <row r="161" ht="28.8" customHeight="1" spans="1:88">
      <c r="A161" s="45"/>
      <c r="B161" s="34" t="s">
        <v>302</v>
      </c>
      <c r="C161" s="35">
        <f>公交!C54-公交!C56</f>
        <v>613.91</v>
      </c>
      <c r="D161" s="36">
        <f t="shared" si="110"/>
        <v>-0.0227008612318321</v>
      </c>
      <c r="E161" s="35">
        <f>公交!E54-公交!E56</f>
        <v>578.52</v>
      </c>
      <c r="F161" s="36">
        <f t="shared" si="111"/>
        <v>-0.101258350163119</v>
      </c>
      <c r="G161" s="35">
        <f>公交!G54-公交!G56</f>
        <v>573.87</v>
      </c>
      <c r="H161" s="36">
        <f t="shared" si="112"/>
        <v>-0.051344783693981</v>
      </c>
      <c r="I161" s="35">
        <f>公交!I54-公交!I56</f>
        <v>549.26</v>
      </c>
      <c r="J161" s="36">
        <f t="shared" si="113"/>
        <v>-0.0614630145412913</v>
      </c>
      <c r="K161" s="35">
        <f>公交!K54-公交!K56</f>
        <v>552.73</v>
      </c>
      <c r="L161" s="36">
        <f t="shared" si="114"/>
        <v>0.0078773180649514</v>
      </c>
      <c r="M161" s="35">
        <f>公交!M54-公交!M56</f>
        <v>508.73</v>
      </c>
      <c r="N161" s="36">
        <f t="shared" si="115"/>
        <v>0.0214436301576146</v>
      </c>
      <c r="O161" s="35">
        <f>公交!O54-公交!O56</f>
        <v>461.07</v>
      </c>
      <c r="P161" s="36">
        <f t="shared" si="116"/>
        <v>-0.0111735437934289</v>
      </c>
      <c r="Q161" s="127"/>
      <c r="R161" s="127"/>
      <c r="S161" s="131">
        <f t="shared" si="117"/>
        <v>3838.09</v>
      </c>
      <c r="T161" s="132">
        <f t="shared" si="118"/>
        <v>-0.135479642126697</v>
      </c>
      <c r="U161" s="35"/>
      <c r="V161" s="35">
        <f>公交!V54-公交!V56</f>
        <v>628.17</v>
      </c>
      <c r="W161" s="36">
        <f t="shared" si="119"/>
        <v>0.0603457006853245</v>
      </c>
      <c r="X161" s="35">
        <f>公交!X54-公交!X56</f>
        <v>643.7</v>
      </c>
      <c r="Y161" s="36">
        <f t="shared" si="120"/>
        <v>0.00048182284461995</v>
      </c>
      <c r="Z161" s="35">
        <f>公交!Z54-公交!Z56</f>
        <v>604.93</v>
      </c>
      <c r="AA161" s="36">
        <f t="shared" si="121"/>
        <v>-0.0863878694516184</v>
      </c>
      <c r="AB161" s="35">
        <f>公交!AB54-公交!AB56</f>
        <v>585.23</v>
      </c>
      <c r="AC161" s="36">
        <f t="shared" si="122"/>
        <v>0.0288853727144867</v>
      </c>
      <c r="AD161" s="35">
        <f>公交!AD54-公交!AD56</f>
        <v>548.41</v>
      </c>
      <c r="AE161" s="36">
        <f t="shared" si="123"/>
        <v>0.0289890423296306</v>
      </c>
      <c r="AF161" s="35">
        <f>公交!AF54-公交!AF56</f>
        <v>498.05</v>
      </c>
      <c r="AG161" s="36">
        <f t="shared" si="124"/>
        <v>-0.0376589249140163</v>
      </c>
      <c r="AH161" s="35">
        <f>公交!AH54-公交!AH56</f>
        <v>466.28</v>
      </c>
      <c r="AI161" s="36">
        <f t="shared" si="125"/>
        <v>-0.052295685047052</v>
      </c>
      <c r="AJ161" s="35">
        <f>公交!AJ54-公交!AJ56</f>
        <v>464.79</v>
      </c>
      <c r="AK161" s="36">
        <f t="shared" si="126"/>
        <v>0.0512756717633223</v>
      </c>
      <c r="AL161" s="35">
        <f>公交!AL54-公交!AL56</f>
        <v>475.35</v>
      </c>
      <c r="AM161" s="36">
        <f t="shared" si="127"/>
        <v>0.0880064087891965</v>
      </c>
      <c r="AN161" s="35">
        <f>公交!AN54-公交!AN56</f>
        <v>547.91</v>
      </c>
      <c r="AO161" s="36">
        <f t="shared" si="128"/>
        <v>0.0865624876056001</v>
      </c>
      <c r="AP161" s="35">
        <f>公交!AP54-公交!AP56</f>
        <v>546.39</v>
      </c>
      <c r="AQ161" s="36">
        <f t="shared" si="129"/>
        <v>0.0846882258352688</v>
      </c>
      <c r="AR161" s="35">
        <f>公交!AR54-公交!AR56</f>
        <v>563.41</v>
      </c>
      <c r="AS161" s="36">
        <f t="shared" si="130"/>
        <v>-0.0266735769197546</v>
      </c>
      <c r="AT161" s="35">
        <f t="shared" si="131"/>
        <v>6572.62</v>
      </c>
      <c r="AU161" s="36">
        <f t="shared" si="132"/>
        <v>0.0150592036274286</v>
      </c>
      <c r="AV161" s="37"/>
      <c r="AW161" s="35">
        <v>592.42</v>
      </c>
      <c r="AX161" s="36"/>
      <c r="AY161" s="35">
        <v>643.39</v>
      </c>
      <c r="AZ161" s="36"/>
      <c r="BA161" s="35">
        <v>662.13</v>
      </c>
      <c r="BB161" s="36"/>
      <c r="BC161" s="35">
        <v>568.8</v>
      </c>
      <c r="BD161" s="36"/>
      <c r="BE161" s="35">
        <v>532.96</v>
      </c>
      <c r="BF161" s="36"/>
      <c r="BG161" s="35">
        <v>517.54</v>
      </c>
      <c r="BH161" s="36"/>
      <c r="BI161" s="35">
        <v>492.01</v>
      </c>
      <c r="BJ161" s="36"/>
      <c r="BK161" s="35">
        <v>442.12</v>
      </c>
      <c r="BL161" s="36"/>
      <c r="BM161" s="35">
        <v>436.9</v>
      </c>
      <c r="BN161" s="36"/>
      <c r="BO161" s="35">
        <v>504.26</v>
      </c>
      <c r="BP161" s="36"/>
      <c r="BQ161" s="35">
        <v>503.73</v>
      </c>
      <c r="BR161" s="36"/>
      <c r="BS161" s="35">
        <v>578.85</v>
      </c>
      <c r="BT161" s="36"/>
      <c r="BU161" s="35">
        <f t="shared" si="133"/>
        <v>6475.11</v>
      </c>
      <c r="BV161" s="36"/>
      <c r="BW161" s="40"/>
      <c r="BX161" s="49"/>
      <c r="BY161" s="49"/>
      <c r="BZ161" s="49"/>
      <c r="CA161" s="49"/>
      <c r="CB161" s="49"/>
      <c r="CC161" s="49"/>
      <c r="CD161" s="50"/>
      <c r="CE161" s="49"/>
      <c r="CF161" s="50"/>
      <c r="CG161" s="50"/>
      <c r="CH161" s="50"/>
      <c r="CI161" s="50"/>
      <c r="CJ161" s="47"/>
    </row>
    <row r="162" ht="28.8" customHeight="1" spans="1:88">
      <c r="A162" s="45"/>
      <c r="B162" s="34" t="s">
        <v>303</v>
      </c>
      <c r="C162" s="35">
        <f>出租!C54-出租!C56</f>
        <v>256.23</v>
      </c>
      <c r="D162" s="36">
        <f t="shared" si="110"/>
        <v>-0.0508945438382042</v>
      </c>
      <c r="E162" s="35">
        <f>出租!E54-出租!E56</f>
        <v>282.11</v>
      </c>
      <c r="F162" s="36">
        <f t="shared" si="111"/>
        <v>0.0791033928776348</v>
      </c>
      <c r="G162" s="35">
        <f>出租!G54-出租!G56</f>
        <v>274.28</v>
      </c>
      <c r="H162" s="36">
        <f t="shared" si="112"/>
        <v>0.0725793837009232</v>
      </c>
      <c r="I162" s="35">
        <f>出租!I54-出租!I56</f>
        <v>281.87</v>
      </c>
      <c r="J162" s="36">
        <f t="shared" si="113"/>
        <v>0.120577244175877</v>
      </c>
      <c r="K162" s="35">
        <f>出租!K54-出租!K56</f>
        <v>284.25</v>
      </c>
      <c r="L162" s="36">
        <f t="shared" si="114"/>
        <v>0.0276201149633053</v>
      </c>
      <c r="M162" s="35">
        <f>出租!M54-出租!M56</f>
        <v>282.01</v>
      </c>
      <c r="N162" s="36">
        <f t="shared" si="115"/>
        <v>0.0453719835415349</v>
      </c>
      <c r="O162" s="35">
        <f>出租!O54-出租!O56</f>
        <v>278.39</v>
      </c>
      <c r="P162" s="36">
        <f t="shared" si="116"/>
        <v>0.052912254160363</v>
      </c>
      <c r="Q162" s="127"/>
      <c r="R162" s="127"/>
      <c r="S162" s="131">
        <f t="shared" si="117"/>
        <v>1939.14</v>
      </c>
      <c r="T162" s="132">
        <f t="shared" si="118"/>
        <v>-0.0830145316807664</v>
      </c>
      <c r="U162" s="35"/>
      <c r="V162" s="35">
        <f>出租!V54-出租!V56</f>
        <v>269.97</v>
      </c>
      <c r="W162" s="36">
        <f t="shared" si="119"/>
        <v>0.00278582571874297</v>
      </c>
      <c r="X162" s="35">
        <f>出租!X54-出租!X56</f>
        <v>261.43</v>
      </c>
      <c r="Y162" s="36">
        <f t="shared" si="120"/>
        <v>-0.0570264031164336</v>
      </c>
      <c r="Z162" s="35">
        <f>出租!Z54-出租!Z56</f>
        <v>255.72</v>
      </c>
      <c r="AA162" s="36">
        <f t="shared" si="121"/>
        <v>-0.0141485793592663</v>
      </c>
      <c r="AB162" s="35">
        <f>出租!AB54-出租!AB56</f>
        <v>251.54</v>
      </c>
      <c r="AC162" s="36">
        <f t="shared" si="122"/>
        <v>0.0035507680031921</v>
      </c>
      <c r="AD162" s="35">
        <f>出租!AD54-出租!AD56</f>
        <v>276.61</v>
      </c>
      <c r="AE162" s="36">
        <f t="shared" si="123"/>
        <v>0.0817755181853737</v>
      </c>
      <c r="AF162" s="35">
        <f>出租!AF54-出租!AF56</f>
        <v>269.77</v>
      </c>
      <c r="AG162" s="36">
        <f t="shared" si="124"/>
        <v>-0.035122858471333</v>
      </c>
      <c r="AH162" s="35">
        <f>出租!AH54-出租!AH56</f>
        <v>264.4</v>
      </c>
      <c r="AI162" s="36">
        <f t="shared" si="125"/>
        <v>0.0602718851505799</v>
      </c>
      <c r="AJ162" s="35">
        <f>出租!AJ54-出租!AJ56</f>
        <v>265.25</v>
      </c>
      <c r="AK162" s="36">
        <f t="shared" si="126"/>
        <v>0.0517446471054719</v>
      </c>
      <c r="AL162" s="35">
        <f>出租!AL54-出租!AL56</f>
        <v>259.37</v>
      </c>
      <c r="AM162" s="36">
        <f t="shared" si="127"/>
        <v>0.0233172887240589</v>
      </c>
      <c r="AN162" s="35">
        <f>出租!AN54-出租!AN56</f>
        <v>257.48</v>
      </c>
      <c r="AO162" s="36">
        <f t="shared" si="128"/>
        <v>-0.00332894634977143</v>
      </c>
      <c r="AP162" s="35">
        <f>出租!AP54-出租!AP56</f>
        <v>248.7</v>
      </c>
      <c r="AQ162" s="36">
        <f t="shared" si="129"/>
        <v>-0.00781935689778968</v>
      </c>
      <c r="AR162" s="35">
        <f>出租!AR54-出租!AR56</f>
        <v>250.83</v>
      </c>
      <c r="AS162" s="36">
        <f t="shared" si="130"/>
        <v>-0.0111566664038475</v>
      </c>
      <c r="AT162" s="35">
        <f t="shared" si="131"/>
        <v>3131.07</v>
      </c>
      <c r="AU162" s="36">
        <f t="shared" si="132"/>
        <v>0.00694328312129366</v>
      </c>
      <c r="AV162" s="37"/>
      <c r="AW162" s="35">
        <v>269.22</v>
      </c>
      <c r="AX162" s="36"/>
      <c r="AY162" s="35">
        <v>277.24</v>
      </c>
      <c r="AZ162" s="36"/>
      <c r="BA162" s="35">
        <v>259.39</v>
      </c>
      <c r="BB162" s="36"/>
      <c r="BC162" s="35">
        <v>250.65</v>
      </c>
      <c r="BD162" s="36"/>
      <c r="BE162" s="35">
        <v>255.7</v>
      </c>
      <c r="BF162" s="36"/>
      <c r="BG162" s="35">
        <v>279.59</v>
      </c>
      <c r="BH162" s="36"/>
      <c r="BI162" s="35">
        <v>249.37</v>
      </c>
      <c r="BJ162" s="36"/>
      <c r="BK162" s="35">
        <v>252.2</v>
      </c>
      <c r="BL162" s="36"/>
      <c r="BM162" s="35">
        <v>253.46</v>
      </c>
      <c r="BN162" s="36"/>
      <c r="BO162" s="35">
        <v>258.34</v>
      </c>
      <c r="BP162" s="36"/>
      <c r="BQ162" s="35">
        <v>250.66</v>
      </c>
      <c r="BR162" s="36"/>
      <c r="BS162" s="35">
        <v>253.66</v>
      </c>
      <c r="BT162" s="36"/>
      <c r="BU162" s="35">
        <f t="shared" si="133"/>
        <v>3109.48</v>
      </c>
      <c r="BV162" s="36"/>
      <c r="BW162" s="40"/>
      <c r="BX162" s="49"/>
      <c r="BY162" s="49"/>
      <c r="BZ162" s="49"/>
      <c r="CA162" s="49"/>
      <c r="CB162" s="49"/>
      <c r="CC162" s="49"/>
      <c r="CD162" s="50"/>
      <c r="CE162" s="49"/>
      <c r="CF162" s="50"/>
      <c r="CG162" s="50"/>
      <c r="CH162" s="50"/>
      <c r="CI162" s="50"/>
      <c r="CJ162" s="47"/>
    </row>
    <row r="163" ht="28.8" customHeight="1" spans="1:88">
      <c r="A163" s="29"/>
      <c r="B163" s="34" t="s">
        <v>304</v>
      </c>
      <c r="C163" s="35">
        <f>网约车!C54-网约车!C56</f>
        <v>206.973462520526</v>
      </c>
      <c r="D163" s="36">
        <f t="shared" ref="D163:D188" si="134">C163/V163-1</f>
        <v>4.56764038520689</v>
      </c>
      <c r="E163" s="35">
        <f>网约车!E54-网约车!E56</f>
        <v>203.392577743688</v>
      </c>
      <c r="F163" s="36">
        <f t="shared" ref="F163:F188" si="135">E163/X163-1</f>
        <v>4.02391341380179</v>
      </c>
      <c r="G163" s="35">
        <f>网约车!G54-网约车!G56</f>
        <v>189.994587025903</v>
      </c>
      <c r="H163" s="36">
        <f t="shared" ref="H163:H188" si="136">G163/Z163-1</f>
        <v>3.45611809786429</v>
      </c>
      <c r="I163" s="35">
        <f>网约车!I54-网约车!I56</f>
        <v>178.909269196787</v>
      </c>
      <c r="J163" s="36">
        <f t="shared" ref="J163:J188" si="137">I163/AB163-1</f>
        <v>2.63193406585334</v>
      </c>
      <c r="K163" s="35">
        <f>网约车!K54-网约车!K56</f>
        <v>175.089960862367</v>
      </c>
      <c r="L163" s="36">
        <f t="shared" ref="L163:L188" si="138">K163/AD163-1</f>
        <v>2.27626948096158</v>
      </c>
      <c r="M163" s="35">
        <f>网约车!M54-网约车!M56</f>
        <v>177.468764675292</v>
      </c>
      <c r="N163" s="36">
        <f t="shared" ref="N163:N188" si="139">M163/AF163-1</f>
        <v>2.31001415095546</v>
      </c>
      <c r="O163" s="35">
        <f>网约车!O54-网约车!O56</f>
        <v>185.330770271642</v>
      </c>
      <c r="P163" s="36">
        <f t="shared" ref="P163:P188" si="140">O163/AH163-1</f>
        <v>1.85824936655087</v>
      </c>
      <c r="Q163" s="127"/>
      <c r="R163" s="127"/>
      <c r="S163" s="131">
        <f t="shared" ref="S163:S188" si="141">E163+C163+G163+I163+K163+M163+O163+Q163</f>
        <v>1317.1593922962</v>
      </c>
      <c r="T163" s="132">
        <f t="shared" ref="T163:T188" si="142">S163/SUM(V163,X163,Z163,AB163,AD163,AF163,AH163,AJ163)-1</f>
        <v>2.18309914501303</v>
      </c>
      <c r="U163" s="35"/>
      <c r="V163" s="35">
        <f>网约车!V54-网约车!V56</f>
        <v>37.1743590104078</v>
      </c>
      <c r="W163" s="36">
        <f t="shared" ref="W163:W188" si="143">V163/AW163-1</f>
        <v>-0.732816279478075</v>
      </c>
      <c r="X163" s="35">
        <f>网约车!X54-网约车!X56</f>
        <v>40.4848891672623</v>
      </c>
      <c r="Y163" s="36">
        <f t="shared" ref="Y163:Y188" si="144">X163/AY163-1</f>
        <v>-0.535350539194567</v>
      </c>
      <c r="Z163" s="35">
        <f>网约车!Z54-网约车!Z56</f>
        <v>42.6367934720947</v>
      </c>
      <c r="AA163" s="36">
        <f t="shared" ref="AA163:AA188" si="145">Z163/BA163-1</f>
        <v>-0.54523962659154</v>
      </c>
      <c r="AB163" s="35">
        <f>网约车!AB54-网约车!AB56</f>
        <v>49.2600542721448</v>
      </c>
      <c r="AC163" s="36">
        <f t="shared" ref="AC163:AC188" si="146">AB163/BC163-1</f>
        <v>-0.519202982669795</v>
      </c>
      <c r="AD163" s="35">
        <f>网约车!AD54-网约车!AD56</f>
        <v>53.4418679170977</v>
      </c>
      <c r="AE163" s="36">
        <f t="shared" ref="AE163:AE188" si="147">AD163/BE163-1</f>
        <v>-0.412125546435947</v>
      </c>
      <c r="AF163" s="35">
        <f>网约车!AF54-网约车!AF56</f>
        <v>53.6157117709192</v>
      </c>
      <c r="AG163" s="36">
        <f t="shared" ref="AG163:AG188" si="148">AF163/BG163-1</f>
        <v>-0.391808839188658</v>
      </c>
      <c r="AH163" s="35">
        <f>网约车!AH54-网约车!AH56</f>
        <v>64.8406582156566</v>
      </c>
      <c r="AI163" s="36">
        <f t="shared" ref="AI163:AI188" si="149">AH163/BI163-1</f>
        <v>-0.416867655531014</v>
      </c>
      <c r="AJ163" s="35">
        <f>网约车!AJ54-网约车!AJ56</f>
        <v>72.3434564065568</v>
      </c>
      <c r="AK163" s="36">
        <f t="shared" ref="AK163:AK188" si="150">AJ163/BK163-1</f>
        <v>-0.319632596905598</v>
      </c>
      <c r="AL163" s="35">
        <f>网约车!AL54-网约车!AL56</f>
        <v>67.6514780597338</v>
      </c>
      <c r="AM163" s="36">
        <f t="shared" ref="AM163:AM188" si="151">AL163/BM163-1</f>
        <v>-0.267520693247477</v>
      </c>
      <c r="AN163" s="35">
        <f>网约车!AN54-网约车!AN56</f>
        <v>84.624621130251</v>
      </c>
      <c r="AO163" s="36">
        <f t="shared" ref="AO163:AO188" si="152">AN163/BO163-1</f>
        <v>-0.177641616735006</v>
      </c>
      <c r="AP163" s="35">
        <f>网约车!AP54-网约车!AP56</f>
        <v>107.219967358605</v>
      </c>
      <c r="AQ163" s="36">
        <f t="shared" ref="AQ163:AQ188" si="153">AP163/BQ163-1</f>
        <v>-0.0549435636345202</v>
      </c>
      <c r="AR163" s="35">
        <f>网约车!AR54-网约车!AR56</f>
        <v>168.381075360461</v>
      </c>
      <c r="AS163" s="36">
        <f t="shared" ref="AS163:AS188" si="154">AR163/BS163-1</f>
        <v>0.331291288409003</v>
      </c>
      <c r="AT163" s="35">
        <f t="shared" ref="AT163:AT188" si="155">X163+V163+Z163+AB163+AD163+AF163+AH163+AJ163+AL163+AN163+AP163+AR163</f>
        <v>841.674932141191</v>
      </c>
      <c r="AU163" s="36">
        <f t="shared" ref="AU163:AU188" si="156">AT163/SUM(AW163,AY163,BA163,BC163,BE163,BG163,BI163,BK163,BM163,BO163,BQ163,BS163)-1</f>
        <v>-0.328946844513686</v>
      </c>
      <c r="AV163" s="37"/>
      <c r="AW163" s="35">
        <v>139.134072007794</v>
      </c>
      <c r="AX163" s="36"/>
      <c r="AY163" s="35">
        <v>87.12996050202</v>
      </c>
      <c r="AZ163" s="36"/>
      <c r="BA163" s="35">
        <v>93.7566154951652</v>
      </c>
      <c r="BB163" s="36"/>
      <c r="BC163" s="35">
        <v>102.454991392581</v>
      </c>
      <c r="BD163" s="36"/>
      <c r="BE163" s="35">
        <v>90.9069404072597</v>
      </c>
      <c r="BF163" s="36"/>
      <c r="BG163" s="35">
        <v>88.1560193992207</v>
      </c>
      <c r="BH163" s="36"/>
      <c r="BI163" s="35">
        <v>111.193726142394</v>
      </c>
      <c r="BJ163" s="36"/>
      <c r="BK163" s="35">
        <v>106.329985942197</v>
      </c>
      <c r="BL163" s="36"/>
      <c r="BM163" s="35">
        <v>92.3595758079084</v>
      </c>
      <c r="BN163" s="36"/>
      <c r="BO163" s="35">
        <v>102.904795345148</v>
      </c>
      <c r="BP163" s="36"/>
      <c r="BQ163" s="35">
        <v>113.453507359787</v>
      </c>
      <c r="BR163" s="36"/>
      <c r="BS163" s="35">
        <v>126.479514157784</v>
      </c>
      <c r="BT163" s="36"/>
      <c r="BU163" s="35">
        <f t="shared" ref="BU163:BU188" si="157">AW163+AY163+BA163+BC163+BE163+BG163+BI163+BK163+BM163+BO163+BQ163+BS163</f>
        <v>1254.25970395926</v>
      </c>
      <c r="BV163" s="36"/>
      <c r="BW163" s="40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7"/>
    </row>
    <row r="164" s="15" customFormat="1" ht="28.8" customHeight="1" spans="1:88">
      <c r="A164" s="48" t="s">
        <v>105</v>
      </c>
      <c r="B164" s="34" t="s">
        <v>300</v>
      </c>
      <c r="C164" s="35">
        <f>C165+C166+C167+C168</f>
        <v>14292.8562850431</v>
      </c>
      <c r="D164" s="36">
        <f t="shared" si="134"/>
        <v>-0.0355310152064635</v>
      </c>
      <c r="E164" s="35">
        <f>E165+E166+E167+E168</f>
        <v>16352.394236129</v>
      </c>
      <c r="F164" s="36">
        <f t="shared" si="135"/>
        <v>0.0242732571530129</v>
      </c>
      <c r="G164" s="35">
        <f>G165+G166+G167+G168</f>
        <v>17256.9048774099</v>
      </c>
      <c r="H164" s="36">
        <f t="shared" si="136"/>
        <v>0.0496295110688634</v>
      </c>
      <c r="I164" s="35">
        <f>I165+I166+I167+I168</f>
        <v>18292.6528446721</v>
      </c>
      <c r="J164" s="36">
        <f t="shared" si="137"/>
        <v>-0.0424402263323814</v>
      </c>
      <c r="K164" s="35">
        <f>K165+K166+K167+K168</f>
        <v>17553.2510824687</v>
      </c>
      <c r="L164" s="36">
        <f t="shared" si="138"/>
        <v>-0.0744677490222618</v>
      </c>
      <c r="M164" s="35">
        <f>M165+M166+M167+M168</f>
        <v>15799.1005102305</v>
      </c>
      <c r="N164" s="36">
        <f t="shared" si="139"/>
        <v>-0.0761359496898486</v>
      </c>
      <c r="O164" s="35">
        <f>O165+O166+O167+O168</f>
        <v>18311.9874752134</v>
      </c>
      <c r="P164" s="36">
        <f t="shared" si="140"/>
        <v>-0.0694119644892559</v>
      </c>
      <c r="Q164" s="127"/>
      <c r="R164" s="127"/>
      <c r="S164" s="131">
        <f t="shared" si="141"/>
        <v>117859.147311167</v>
      </c>
      <c r="T164" s="132">
        <f t="shared" si="142"/>
        <v>-0.158534995169969</v>
      </c>
      <c r="U164" s="35"/>
      <c r="V164" s="35">
        <f>V165+V166+V167+V168</f>
        <v>14819.4047816921</v>
      </c>
      <c r="W164" s="36">
        <f t="shared" si="143"/>
        <v>-0.0384801687249622</v>
      </c>
      <c r="X164" s="35">
        <f>X165+X166+X167+X168</f>
        <v>15964.8747264776</v>
      </c>
      <c r="Y164" s="36">
        <f t="shared" si="144"/>
        <v>-0.0306307029277948</v>
      </c>
      <c r="Z164" s="35">
        <f>Z165+Z166+Z167+Z168</f>
        <v>16440.9486351396</v>
      </c>
      <c r="AA164" s="36">
        <f t="shared" si="145"/>
        <v>-0.000874345663169129</v>
      </c>
      <c r="AB164" s="35">
        <f>AB165+AB166+AB167+AB168</f>
        <v>19103.4057065786</v>
      </c>
      <c r="AC164" s="36">
        <f t="shared" si="146"/>
        <v>0.0197360985311621</v>
      </c>
      <c r="AD164" s="35">
        <f>AD165+AD166+AD167+AD168</f>
        <v>18965.5747424526</v>
      </c>
      <c r="AE164" s="36">
        <f t="shared" si="147"/>
        <v>-0.034604814147007</v>
      </c>
      <c r="AF164" s="35">
        <f>AF165+AF166+AF167+AF168</f>
        <v>17101.1097411211</v>
      </c>
      <c r="AG164" s="36">
        <f t="shared" si="148"/>
        <v>-0.096166705414252</v>
      </c>
      <c r="AH164" s="35">
        <f>AH165+AH166+AH167+AH168</f>
        <v>19677.8668717389</v>
      </c>
      <c r="AI164" s="36">
        <f t="shared" si="149"/>
        <v>-0.0727660758488335</v>
      </c>
      <c r="AJ164" s="35">
        <f>AJ165+AJ166+AJ167+AJ168</f>
        <v>17991.0440077224</v>
      </c>
      <c r="AK164" s="36">
        <f t="shared" si="150"/>
        <v>-0.130612302266445</v>
      </c>
      <c r="AL164" s="35">
        <f>AL165+AL166+AL167+AL168</f>
        <v>15311.527410868</v>
      </c>
      <c r="AM164" s="36">
        <f t="shared" si="151"/>
        <v>-0.169674888903515</v>
      </c>
      <c r="AN164" s="35">
        <f>AN165+AN166+AN167+AN168</f>
        <v>14230.7837427687</v>
      </c>
      <c r="AO164" s="36">
        <f t="shared" si="152"/>
        <v>-0.214667899231475</v>
      </c>
      <c r="AP164" s="35">
        <f>AP165+AP166+AP167+AP168</f>
        <v>14272.8937544219</v>
      </c>
      <c r="AQ164" s="36">
        <f t="shared" si="153"/>
        <v>-0.144665914196521</v>
      </c>
      <c r="AR164" s="35">
        <f>AR165+AR166+AR167+AR168</f>
        <v>13491.0054227187</v>
      </c>
      <c r="AS164" s="36">
        <f t="shared" si="154"/>
        <v>-0.088267070535258</v>
      </c>
      <c r="AT164" s="35">
        <f t="shared" si="155"/>
        <v>197370.4395437</v>
      </c>
      <c r="AU164" s="36">
        <f t="shared" si="156"/>
        <v>-0.0845444913957974</v>
      </c>
      <c r="AV164" s="37"/>
      <c r="AW164" s="38">
        <f>AW165+AW166+AW167+AW168</f>
        <v>15412.4795970569</v>
      </c>
      <c r="AX164" s="37"/>
      <c r="AY164" s="38">
        <f>AY165+AY166+AY167+AY168</f>
        <v>16469.3422565543</v>
      </c>
      <c r="AZ164" s="37"/>
      <c r="BA164" s="38">
        <f>BA165+BA166+BA167+BA168</f>
        <v>16455.3362870582</v>
      </c>
      <c r="BB164" s="37"/>
      <c r="BC164" s="38">
        <f>BC165+BC166+BC167+BC168</f>
        <v>18733.676030588</v>
      </c>
      <c r="BD164" s="37"/>
      <c r="BE164" s="38">
        <f>BE165+BE166+BE167+BE168</f>
        <v>19645.4001639704</v>
      </c>
      <c r="BF164" s="37"/>
      <c r="BG164" s="38">
        <f>BG165+BG166+BG167+BG168</f>
        <v>18920.6459239356</v>
      </c>
      <c r="BH164" s="37"/>
      <c r="BI164" s="38">
        <f>BI165+BI166+BI167+BI168</f>
        <v>21222.1170507247</v>
      </c>
      <c r="BJ164" s="37"/>
      <c r="BK164" s="38">
        <f>BK165+BK166+BK167+BK168</f>
        <v>20693.9252241826</v>
      </c>
      <c r="BL164" s="37"/>
      <c r="BM164" s="38">
        <f>BM165+BM166+BM167+BM168</f>
        <v>18440.4002796548</v>
      </c>
      <c r="BN164" s="37"/>
      <c r="BO164" s="38">
        <f>BO165+BO166+BO167+BO168</f>
        <v>18120.720812052</v>
      </c>
      <c r="BP164" s="37"/>
      <c r="BQ164" s="38">
        <f>BQ165+BQ166+BQ167+BQ168</f>
        <v>16686.9226788902</v>
      </c>
      <c r="BR164" s="37"/>
      <c r="BS164" s="38">
        <f>BS165+BS166+BS167+BS168</f>
        <v>14797.1022946807</v>
      </c>
      <c r="BT164" s="37"/>
      <c r="BU164" s="38">
        <f t="shared" si="157"/>
        <v>215598.068599348</v>
      </c>
      <c r="BV164" s="37"/>
      <c r="BW164" s="39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</row>
    <row r="165" ht="28.8" customHeight="1" spans="1:88">
      <c r="A165" s="45"/>
      <c r="B165" s="34" t="s">
        <v>301</v>
      </c>
      <c r="C165" s="35">
        <f>班线包车!C49</f>
        <v>10684.8007</v>
      </c>
      <c r="D165" s="36">
        <f t="shared" si="134"/>
        <v>0.0891794572376348</v>
      </c>
      <c r="E165" s="35">
        <f>班线包车!E49</f>
        <v>13255.0026</v>
      </c>
      <c r="F165" s="36">
        <f t="shared" si="135"/>
        <v>0.117912712060009</v>
      </c>
      <c r="G165" s="35">
        <f>班线包车!G49</f>
        <v>13786.1171</v>
      </c>
      <c r="H165" s="36">
        <f t="shared" si="136"/>
        <v>0.174692143335253</v>
      </c>
      <c r="I165" s="35">
        <f>班线包车!I49</f>
        <v>14831.9663</v>
      </c>
      <c r="J165" s="36">
        <f t="shared" si="137"/>
        <v>0.0420732699034427</v>
      </c>
      <c r="K165" s="35">
        <f>班线包车!K49</f>
        <v>13914.4557</v>
      </c>
      <c r="L165" s="36">
        <f t="shared" si="138"/>
        <v>-0.0113665323304102</v>
      </c>
      <c r="M165" s="35">
        <f>班线包车!M49</f>
        <v>12216.1679</v>
      </c>
      <c r="N165" s="36">
        <f t="shared" si="139"/>
        <v>-0.014161970671528</v>
      </c>
      <c r="O165" s="35">
        <f>班线包车!O49</f>
        <v>14327.7602</v>
      </c>
      <c r="P165" s="36">
        <f t="shared" si="140"/>
        <v>-0.0291218514278547</v>
      </c>
      <c r="Q165" s="127"/>
      <c r="R165" s="127"/>
      <c r="S165" s="131">
        <f t="shared" si="141"/>
        <v>93016.2705</v>
      </c>
      <c r="T165" s="132">
        <f t="shared" si="142"/>
        <v>-0.098852919813019</v>
      </c>
      <c r="U165" s="35"/>
      <c r="V165" s="35">
        <f>班线包车!V49</f>
        <v>9809.9543</v>
      </c>
      <c r="W165" s="36">
        <f t="shared" si="143"/>
        <v>-0.0789879049518225</v>
      </c>
      <c r="X165" s="35">
        <f>班线包车!X49</f>
        <v>11856.9209</v>
      </c>
      <c r="Y165" s="36">
        <f t="shared" si="144"/>
        <v>-0.0759822229545628</v>
      </c>
      <c r="Z165" s="35">
        <f>班线包车!Z49</f>
        <v>11735.9405</v>
      </c>
      <c r="AA165" s="36">
        <f t="shared" si="145"/>
        <v>-0.0160517928950228</v>
      </c>
      <c r="AB165" s="35">
        <f>班线包车!AB49</f>
        <v>14233.1319</v>
      </c>
      <c r="AC165" s="36">
        <f t="shared" si="146"/>
        <v>0.0358616823576945</v>
      </c>
      <c r="AD165" s="35">
        <f>班线包车!AD49</f>
        <v>14074.4332</v>
      </c>
      <c r="AE165" s="36">
        <f t="shared" si="147"/>
        <v>-0.0407968754848388</v>
      </c>
      <c r="AF165" s="35">
        <f>班线包车!AF49</f>
        <v>12391.6582</v>
      </c>
      <c r="AG165" s="36">
        <f t="shared" si="148"/>
        <v>-0.113889138295201</v>
      </c>
      <c r="AH165" s="35">
        <f>班线包车!AH49</f>
        <v>14757.5267</v>
      </c>
      <c r="AI165" s="36">
        <f t="shared" si="149"/>
        <v>-0.0475360397317872</v>
      </c>
      <c r="AJ165" s="35">
        <f>班线包车!AJ49</f>
        <v>14360.2888</v>
      </c>
      <c r="AK165" s="36">
        <f t="shared" si="150"/>
        <v>-0.0551707968798998</v>
      </c>
      <c r="AL165" s="35">
        <f>班线包车!AL49</f>
        <v>11934.8122</v>
      </c>
      <c r="AM165" s="36">
        <f t="shared" si="151"/>
        <v>-0.0946443498057074</v>
      </c>
      <c r="AN165" s="35">
        <f>班线包车!AN49</f>
        <v>11428.8009</v>
      </c>
      <c r="AO165" s="36">
        <f t="shared" si="152"/>
        <v>-0.106839257806364</v>
      </c>
      <c r="AP165" s="35">
        <f>班线包车!AP49</f>
        <v>11283.7082</v>
      </c>
      <c r="AQ165" s="36">
        <f t="shared" si="153"/>
        <v>0.00118111194063908</v>
      </c>
      <c r="AR165" s="35">
        <f>班线包车!AR49</f>
        <v>10386.9353</v>
      </c>
      <c r="AS165" s="36">
        <f t="shared" si="154"/>
        <v>0.0983713748614905</v>
      </c>
      <c r="AT165" s="35">
        <f t="shared" si="155"/>
        <v>148254.1111</v>
      </c>
      <c r="AU165" s="36">
        <f t="shared" si="156"/>
        <v>-0.0447953082553804</v>
      </c>
      <c r="AV165" s="37"/>
      <c r="AW165" s="35">
        <v>10651.2763</v>
      </c>
      <c r="AX165" s="36"/>
      <c r="AY165" s="35">
        <v>12831.9186</v>
      </c>
      <c r="AZ165" s="36"/>
      <c r="BA165" s="35">
        <v>11927.3966</v>
      </c>
      <c r="BB165" s="36"/>
      <c r="BC165" s="35">
        <v>13740.3788</v>
      </c>
      <c r="BD165" s="36"/>
      <c r="BE165" s="35">
        <v>14673.0477</v>
      </c>
      <c r="BF165" s="36"/>
      <c r="BG165" s="35">
        <v>13984.3204</v>
      </c>
      <c r="BH165" s="36"/>
      <c r="BI165" s="35">
        <v>15494.0526</v>
      </c>
      <c r="BJ165" s="36"/>
      <c r="BK165" s="35">
        <v>15198.8198</v>
      </c>
      <c r="BL165" s="36"/>
      <c r="BM165" s="35">
        <v>13182.4573</v>
      </c>
      <c r="BN165" s="36"/>
      <c r="BO165" s="35">
        <v>12795.906</v>
      </c>
      <c r="BP165" s="36"/>
      <c r="BQ165" s="35">
        <v>11270.3966</v>
      </c>
      <c r="BR165" s="36"/>
      <c r="BS165" s="35">
        <v>9456.6697</v>
      </c>
      <c r="BT165" s="36"/>
      <c r="BU165" s="35">
        <f t="shared" si="157"/>
        <v>155206.6404</v>
      </c>
      <c r="BV165" s="36"/>
      <c r="BW165" s="40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7"/>
    </row>
    <row r="166" ht="28.8" customHeight="1" spans="1:88">
      <c r="A166" s="45"/>
      <c r="B166" s="34" t="s">
        <v>302</v>
      </c>
      <c r="C166" s="35">
        <f>公交!C58-公交!C60</f>
        <v>1613.52</v>
      </c>
      <c r="D166" s="36">
        <f t="shared" si="134"/>
        <v>-0.539457459926017</v>
      </c>
      <c r="E166" s="35">
        <f>公交!E58-公交!E60</f>
        <v>1188.04</v>
      </c>
      <c r="F166" s="36">
        <f t="shared" si="135"/>
        <v>-0.56363449375225</v>
      </c>
      <c r="G166" s="35">
        <f>公交!G58-公交!G60</f>
        <v>1545.24</v>
      </c>
      <c r="H166" s="36">
        <f t="shared" si="136"/>
        <v>-0.540023635243303</v>
      </c>
      <c r="I166" s="35">
        <f>公交!I58-公交!I60</f>
        <v>1550.19</v>
      </c>
      <c r="J166" s="36">
        <f t="shared" si="137"/>
        <v>-0.548966095136123</v>
      </c>
      <c r="K166" s="35">
        <f>公交!K58-公交!K60</f>
        <v>1626.06</v>
      </c>
      <c r="L166" s="36">
        <f t="shared" si="138"/>
        <v>-0.518696443635395</v>
      </c>
      <c r="M166" s="35">
        <f>公交!M58-公交!M60</f>
        <v>1556.31</v>
      </c>
      <c r="N166" s="36">
        <f t="shared" si="139"/>
        <v>-0.50702257868329</v>
      </c>
      <c r="O166" s="35">
        <f>公交!O58-公交!O60</f>
        <v>1739.03</v>
      </c>
      <c r="P166" s="36">
        <f t="shared" si="140"/>
        <v>-0.471586489377218</v>
      </c>
      <c r="Q166" s="127"/>
      <c r="R166" s="127"/>
      <c r="S166" s="131">
        <f t="shared" si="141"/>
        <v>10818.39</v>
      </c>
      <c r="T166" s="132">
        <f t="shared" si="142"/>
        <v>-0.563953411040714</v>
      </c>
      <c r="U166" s="35"/>
      <c r="V166" s="35">
        <f>公交!V58-公交!V60</f>
        <v>3503.52</v>
      </c>
      <c r="W166" s="36">
        <f t="shared" si="143"/>
        <v>-0.0619281837630296</v>
      </c>
      <c r="X166" s="35">
        <f>公交!X58-公交!X60</f>
        <v>2722.58</v>
      </c>
      <c r="Y166" s="36">
        <f t="shared" si="144"/>
        <v>-0.00957473898650363</v>
      </c>
      <c r="Z166" s="35">
        <f>公交!Z58-公交!Z60</f>
        <v>3359.39</v>
      </c>
      <c r="AA166" s="36">
        <f t="shared" si="145"/>
        <v>-0.0822492255071767</v>
      </c>
      <c r="AB166" s="35">
        <f>公交!AB58-公交!AB60</f>
        <v>3436.97</v>
      </c>
      <c r="AC166" s="36">
        <f t="shared" si="146"/>
        <v>-0.113922647375776</v>
      </c>
      <c r="AD166" s="35">
        <f>公交!AD58-公交!AD60</f>
        <v>3378.45</v>
      </c>
      <c r="AE166" s="36">
        <f t="shared" si="147"/>
        <v>-0.118551778837624</v>
      </c>
      <c r="AF166" s="35">
        <f>公交!AF58-公交!AF60</f>
        <v>3156.96</v>
      </c>
      <c r="AG166" s="36">
        <f t="shared" si="148"/>
        <v>-0.175489502179483</v>
      </c>
      <c r="AH166" s="35">
        <f>公交!AH58-公交!AH60</f>
        <v>3291.04</v>
      </c>
      <c r="AI166" s="36">
        <f t="shared" si="149"/>
        <v>-0.174671163997944</v>
      </c>
      <c r="AJ166" s="35">
        <f>公交!AJ58-公交!AJ60</f>
        <v>1961.26</v>
      </c>
      <c r="AK166" s="36">
        <f t="shared" si="150"/>
        <v>-0.472581078900661</v>
      </c>
      <c r="AL166" s="35">
        <f>公交!AL58-公交!AL60</f>
        <v>1754.73</v>
      </c>
      <c r="AM166" s="36">
        <f t="shared" si="151"/>
        <v>-0.494736387457169</v>
      </c>
      <c r="AN166" s="35">
        <f>公交!AN58-公交!AN60</f>
        <v>926.36</v>
      </c>
      <c r="AO166" s="36">
        <f t="shared" si="152"/>
        <v>-0.735502549723899</v>
      </c>
      <c r="AP166" s="35">
        <f>公交!AP58-公交!AP60</f>
        <v>966.26</v>
      </c>
      <c r="AQ166" s="36">
        <f t="shared" si="153"/>
        <v>-0.731177769987926</v>
      </c>
      <c r="AR166" s="35">
        <f>公交!AR58-公交!AR60</f>
        <v>957.34</v>
      </c>
      <c r="AS166" s="36">
        <f t="shared" si="154"/>
        <v>-0.731590929481428</v>
      </c>
      <c r="AT166" s="35">
        <f t="shared" si="155"/>
        <v>29414.86</v>
      </c>
      <c r="AU166" s="36">
        <f t="shared" si="156"/>
        <v>-0.324220276520776</v>
      </c>
      <c r="AV166" s="37"/>
      <c r="AW166" s="35">
        <v>3734.81</v>
      </c>
      <c r="AX166" s="36"/>
      <c r="AY166" s="35">
        <v>2748.9</v>
      </c>
      <c r="AZ166" s="36"/>
      <c r="BA166" s="35">
        <v>3660.46</v>
      </c>
      <c r="BB166" s="36"/>
      <c r="BC166" s="35">
        <v>3878.86</v>
      </c>
      <c r="BD166" s="36"/>
      <c r="BE166" s="35">
        <v>3832.84</v>
      </c>
      <c r="BF166" s="36"/>
      <c r="BG166" s="35">
        <v>3828.89</v>
      </c>
      <c r="BH166" s="36"/>
      <c r="BI166" s="35">
        <v>3987.55</v>
      </c>
      <c r="BJ166" s="36"/>
      <c r="BK166" s="35">
        <v>3718.6</v>
      </c>
      <c r="BL166" s="36"/>
      <c r="BM166" s="35">
        <v>3472.9</v>
      </c>
      <c r="BN166" s="36"/>
      <c r="BO166" s="35">
        <v>3502.34</v>
      </c>
      <c r="BP166" s="36"/>
      <c r="BQ166" s="35">
        <v>3594.42</v>
      </c>
      <c r="BR166" s="36"/>
      <c r="BS166" s="35">
        <v>3566.72</v>
      </c>
      <c r="BT166" s="36"/>
      <c r="BU166" s="35">
        <f t="shared" si="157"/>
        <v>43527.29</v>
      </c>
      <c r="BV166" s="36"/>
      <c r="BW166" s="40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7"/>
    </row>
    <row r="167" ht="28.8" customHeight="1" spans="1:88">
      <c r="A167" s="45"/>
      <c r="B167" s="34" t="s">
        <v>303</v>
      </c>
      <c r="C167" s="35">
        <f>出租!C58-出租!C60</f>
        <v>1335.24</v>
      </c>
      <c r="D167" s="36">
        <f t="shared" si="134"/>
        <v>0.00492966756730295</v>
      </c>
      <c r="E167" s="35">
        <f>出租!E58-出租!E60</f>
        <v>1399.46</v>
      </c>
      <c r="F167" s="36">
        <f t="shared" si="135"/>
        <v>0.16533295584182</v>
      </c>
      <c r="G167" s="35">
        <f>出租!G58-出租!G60</f>
        <v>1219.59</v>
      </c>
      <c r="H167" s="36">
        <f t="shared" si="136"/>
        <v>0.0853341639227554</v>
      </c>
      <c r="I167" s="35">
        <f>出租!I58-出租!I60</f>
        <v>1184.76</v>
      </c>
      <c r="J167" s="36">
        <f t="shared" si="137"/>
        <v>0.023993085566119</v>
      </c>
      <c r="K167" s="35">
        <f>出租!K58-出租!K60</f>
        <v>1208.02</v>
      </c>
      <c r="L167" s="36">
        <f t="shared" si="138"/>
        <v>0.032292797142442</v>
      </c>
      <c r="M167" s="35">
        <f>出租!M58-出租!M60</f>
        <v>1194.75</v>
      </c>
      <c r="N167" s="36">
        <f t="shared" si="139"/>
        <v>0.03719040550043</v>
      </c>
      <c r="O167" s="35">
        <f>出租!O58-出租!O60</f>
        <v>1241.64</v>
      </c>
      <c r="P167" s="36">
        <f t="shared" si="140"/>
        <v>0.035580243206726</v>
      </c>
      <c r="Q167" s="127"/>
      <c r="R167" s="127"/>
      <c r="S167" s="131">
        <f t="shared" si="141"/>
        <v>8783.46</v>
      </c>
      <c r="T167" s="132">
        <f t="shared" si="142"/>
        <v>-0.0795315214862538</v>
      </c>
      <c r="U167" s="35"/>
      <c r="V167" s="35">
        <f>出租!V58-出租!V60</f>
        <v>1328.69</v>
      </c>
      <c r="W167" s="36">
        <f t="shared" si="143"/>
        <v>0.51526452039641</v>
      </c>
      <c r="X167" s="35">
        <f>出租!X58-出租!X60</f>
        <v>1200.91</v>
      </c>
      <c r="Y167" s="36">
        <f t="shared" si="144"/>
        <v>0.54910155695729</v>
      </c>
      <c r="Z167" s="35">
        <f>出租!Z58-出租!Z60</f>
        <v>1123.7</v>
      </c>
      <c r="AA167" s="36">
        <f t="shared" si="145"/>
        <v>0.505795644891122</v>
      </c>
      <c r="AB167" s="35">
        <f>出租!AB58-出租!AB60</f>
        <v>1157</v>
      </c>
      <c r="AC167" s="36">
        <f t="shared" si="146"/>
        <v>0.283943493169687</v>
      </c>
      <c r="AD167" s="35">
        <f>出租!AD58-出租!AD60</f>
        <v>1170.23</v>
      </c>
      <c r="AE167" s="36">
        <f t="shared" si="147"/>
        <v>0.279905065021711</v>
      </c>
      <c r="AF167" s="35">
        <f>出租!AF58-出租!AF60</f>
        <v>1151.91</v>
      </c>
      <c r="AG167" s="36">
        <f t="shared" si="148"/>
        <v>0.329244510091277</v>
      </c>
      <c r="AH167" s="35">
        <f>出租!AH58-出租!AH60</f>
        <v>1198.98</v>
      </c>
      <c r="AI167" s="36">
        <f t="shared" si="149"/>
        <v>-0.135084833795014</v>
      </c>
      <c r="AJ167" s="35">
        <f>出租!AJ58-出租!AJ60</f>
        <v>1210.96</v>
      </c>
      <c r="AK167" s="36">
        <f t="shared" si="150"/>
        <v>-0.164739964132984</v>
      </c>
      <c r="AL167" s="35">
        <f>出租!AL58-出租!AL60</f>
        <v>1229.41</v>
      </c>
      <c r="AM167" s="36">
        <f t="shared" si="151"/>
        <v>-0.149573891148557</v>
      </c>
      <c r="AN167" s="35">
        <f>出租!AN58-出租!AN60</f>
        <v>1250.61</v>
      </c>
      <c r="AO167" s="36">
        <f t="shared" si="152"/>
        <v>-0.152760653072285</v>
      </c>
      <c r="AP167" s="35">
        <f>出租!AP58-出租!AP60</f>
        <v>1359.49</v>
      </c>
      <c r="AQ167" s="36">
        <f t="shared" si="153"/>
        <v>-0.0581988223068928</v>
      </c>
      <c r="AR167" s="35">
        <f>出租!AR58-出租!AR60</f>
        <v>1449.15</v>
      </c>
      <c r="AS167" s="36">
        <f t="shared" si="154"/>
        <v>0.0606071695185679</v>
      </c>
      <c r="AT167" s="35">
        <f t="shared" si="155"/>
        <v>14831.04</v>
      </c>
      <c r="AU167" s="36">
        <f t="shared" si="156"/>
        <v>0.0866822977725672</v>
      </c>
      <c r="AV167" s="37"/>
      <c r="AW167" s="35">
        <v>876.87</v>
      </c>
      <c r="AX167" s="36"/>
      <c r="AY167" s="35">
        <v>775.23</v>
      </c>
      <c r="AZ167" s="36"/>
      <c r="BA167" s="35">
        <v>746.25</v>
      </c>
      <c r="BB167" s="36"/>
      <c r="BC167" s="35">
        <v>901.13</v>
      </c>
      <c r="BD167" s="36"/>
      <c r="BE167" s="35">
        <v>914.31</v>
      </c>
      <c r="BF167" s="36"/>
      <c r="BG167" s="35">
        <v>866.59</v>
      </c>
      <c r="BH167" s="36"/>
      <c r="BI167" s="35">
        <v>1386.24</v>
      </c>
      <c r="BJ167" s="36"/>
      <c r="BK167" s="35">
        <v>1449.8</v>
      </c>
      <c r="BL167" s="36"/>
      <c r="BM167" s="35">
        <v>1445.64</v>
      </c>
      <c r="BN167" s="36"/>
      <c r="BO167" s="35">
        <v>1476.1</v>
      </c>
      <c r="BP167" s="36"/>
      <c r="BQ167" s="35">
        <v>1443.5</v>
      </c>
      <c r="BR167" s="36"/>
      <c r="BS167" s="35">
        <v>1366.34</v>
      </c>
      <c r="BT167" s="36"/>
      <c r="BU167" s="35">
        <f t="shared" si="157"/>
        <v>13648</v>
      </c>
      <c r="BV167" s="36"/>
      <c r="BW167" s="40"/>
      <c r="BX167" s="49"/>
      <c r="BY167" s="49"/>
      <c r="BZ167" s="49"/>
      <c r="CA167" s="49"/>
      <c r="CB167" s="49"/>
      <c r="CC167" s="49"/>
      <c r="CD167" s="50"/>
      <c r="CE167" s="49"/>
      <c r="CF167" s="50"/>
      <c r="CG167" s="50"/>
      <c r="CH167" s="50"/>
      <c r="CI167" s="50"/>
      <c r="CJ167" s="47"/>
    </row>
    <row r="168" ht="28.8" customHeight="1" spans="1:88">
      <c r="A168" s="29"/>
      <c r="B168" s="34" t="s">
        <v>304</v>
      </c>
      <c r="C168" s="35">
        <f>网约车!C58-网约车!C60</f>
        <v>659.295585043073</v>
      </c>
      <c r="D168" s="36">
        <f t="shared" si="134"/>
        <v>2.71977992131807</v>
      </c>
      <c r="E168" s="35">
        <f>网约车!E58-网约车!E60</f>
        <v>509.891636129035</v>
      </c>
      <c r="F168" s="36">
        <f t="shared" si="135"/>
        <v>1.76418225657337</v>
      </c>
      <c r="G168" s="35">
        <f>网约车!G58-网约车!G60</f>
        <v>705.957777409858</v>
      </c>
      <c r="H168" s="36">
        <f t="shared" si="136"/>
        <v>2.18116307604074</v>
      </c>
      <c r="I168" s="35">
        <f>网约车!I58-网约车!I60</f>
        <v>725.736544672053</v>
      </c>
      <c r="J168" s="36">
        <f t="shared" si="137"/>
        <v>1.62658902046552</v>
      </c>
      <c r="K168" s="35">
        <f>网约车!K58-网约车!K60</f>
        <v>804.715382468729</v>
      </c>
      <c r="L168" s="36">
        <f t="shared" si="138"/>
        <v>1.34979781001254</v>
      </c>
      <c r="M168" s="35">
        <f>网约车!M58-网约车!M60</f>
        <v>831.872610230504</v>
      </c>
      <c r="N168" s="36">
        <f t="shared" si="139"/>
        <v>1.07666236417784</v>
      </c>
      <c r="O168" s="35">
        <f>网约车!O58-网约车!O60</f>
        <v>1003.55727521344</v>
      </c>
      <c r="P168" s="36">
        <f t="shared" si="140"/>
        <v>1.33211766754543</v>
      </c>
      <c r="Q168" s="127"/>
      <c r="R168" s="127"/>
      <c r="S168" s="131">
        <f t="shared" si="141"/>
        <v>5241.02681116669</v>
      </c>
      <c r="T168" s="132">
        <f t="shared" si="142"/>
        <v>1.10328872010384</v>
      </c>
      <c r="U168" s="35"/>
      <c r="V168" s="35">
        <f>网约车!V58-网约车!V60</f>
        <v>177.240481692115</v>
      </c>
      <c r="W168" s="36">
        <f t="shared" si="143"/>
        <v>0.18537034148375</v>
      </c>
      <c r="X168" s="35">
        <f>网约车!X58-网约车!X60</f>
        <v>184.463826477609</v>
      </c>
      <c r="Y168" s="36">
        <f t="shared" si="144"/>
        <v>0.62819201081392</v>
      </c>
      <c r="Z168" s="35">
        <f>网约车!Z58-网约车!Z60</f>
        <v>221.918135139582</v>
      </c>
      <c r="AA168" s="36">
        <f t="shared" si="145"/>
        <v>0.830559333483317</v>
      </c>
      <c r="AB168" s="35">
        <f>网约车!AB58-网约车!AB60</f>
        <v>276.303806578552</v>
      </c>
      <c r="AC168" s="36">
        <f t="shared" si="146"/>
        <v>0.29533258585233</v>
      </c>
      <c r="AD168" s="35">
        <f>网约车!AD58-网约车!AD60</f>
        <v>342.46154245264</v>
      </c>
      <c r="AE168" s="36">
        <f t="shared" si="147"/>
        <v>0.520682928662923</v>
      </c>
      <c r="AF168" s="35">
        <f>网约车!AF58-网约车!AF60</f>
        <v>400.581541121079</v>
      </c>
      <c r="AG168" s="36">
        <f t="shared" si="148"/>
        <v>0.663230167517088</v>
      </c>
      <c r="AH168" s="35">
        <f>网约车!AH58-网约车!AH60</f>
        <v>430.320171738886</v>
      </c>
      <c r="AI168" s="36">
        <f t="shared" si="149"/>
        <v>0.214652004564743</v>
      </c>
      <c r="AJ168" s="35">
        <f>网约车!AJ58-网约车!AJ60</f>
        <v>458.535207722418</v>
      </c>
      <c r="AK168" s="36">
        <f t="shared" si="150"/>
        <v>0.403512686909595</v>
      </c>
      <c r="AL168" s="35">
        <f>网约车!AL58-网约车!AL60</f>
        <v>392.575210868005</v>
      </c>
      <c r="AM168" s="36">
        <f t="shared" si="151"/>
        <v>0.156664008275095</v>
      </c>
      <c r="AN168" s="35">
        <f>网约车!AN58-网约车!AN60</f>
        <v>625.012842768737</v>
      </c>
      <c r="AO168" s="36">
        <f t="shared" si="152"/>
        <v>0.804440799450738</v>
      </c>
      <c r="AP168" s="35">
        <f>网约车!AP58-网约车!AP60</f>
        <v>663.435554421917</v>
      </c>
      <c r="AQ168" s="36">
        <f t="shared" si="153"/>
        <v>0.752310888315894</v>
      </c>
      <c r="AR168" s="35">
        <f>网约车!AR58-网约车!AR60</f>
        <v>697.580122718713</v>
      </c>
      <c r="AS168" s="36">
        <f t="shared" si="154"/>
        <v>0.712388441999735</v>
      </c>
      <c r="AT168" s="35">
        <f t="shared" si="155"/>
        <v>4870.42844370025</v>
      </c>
      <c r="AU168" s="36">
        <f t="shared" si="156"/>
        <v>0.514371628895498</v>
      </c>
      <c r="AV168" s="37"/>
      <c r="AW168" s="35">
        <v>149.523297056901</v>
      </c>
      <c r="AX168" s="36"/>
      <c r="AY168" s="35">
        <v>113.293656554301</v>
      </c>
      <c r="AZ168" s="36"/>
      <c r="BA168" s="35">
        <v>121.229687058163</v>
      </c>
      <c r="BB168" s="36"/>
      <c r="BC168" s="35">
        <v>213.307230587999</v>
      </c>
      <c r="BD168" s="36"/>
      <c r="BE168" s="35">
        <v>225.202463970417</v>
      </c>
      <c r="BF168" s="36"/>
      <c r="BG168" s="35">
        <v>240.845523935558</v>
      </c>
      <c r="BH168" s="36"/>
      <c r="BI168" s="35">
        <v>354.274450724746</v>
      </c>
      <c r="BJ168" s="36"/>
      <c r="BK168" s="35">
        <v>326.70542418257</v>
      </c>
      <c r="BL168" s="36"/>
      <c r="BM168" s="35">
        <v>339.402979654777</v>
      </c>
      <c r="BN168" s="36"/>
      <c r="BO168" s="35">
        <v>346.374812052015</v>
      </c>
      <c r="BP168" s="36"/>
      <c r="BQ168" s="35">
        <v>378.606078890219</v>
      </c>
      <c r="BR168" s="36"/>
      <c r="BS168" s="35">
        <v>407.372594680723</v>
      </c>
      <c r="BT168" s="36"/>
      <c r="BU168" s="35">
        <f t="shared" si="157"/>
        <v>3216.13819934839</v>
      </c>
      <c r="BV168" s="36"/>
      <c r="BW168" s="40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7"/>
    </row>
    <row r="169" s="15" customFormat="1" ht="28.8" customHeight="1" spans="1:88">
      <c r="A169" s="48" t="s">
        <v>106</v>
      </c>
      <c r="B169" s="34" t="s">
        <v>300</v>
      </c>
      <c r="C169" s="35">
        <f>C170+C171+C172+C173</f>
        <v>958.71325430899</v>
      </c>
      <c r="D169" s="36">
        <f t="shared" si="134"/>
        <v>-0.0894012796781622</v>
      </c>
      <c r="E169" s="35">
        <f>E170+E171+E172+E173</f>
        <v>983.672983148429</v>
      </c>
      <c r="F169" s="36">
        <f t="shared" si="135"/>
        <v>-0.0675271897327181</v>
      </c>
      <c r="G169" s="35">
        <f>G170+G171+G172+G173</f>
        <v>972.673334996947</v>
      </c>
      <c r="H169" s="36">
        <f t="shared" si="136"/>
        <v>-0.0703682863632238</v>
      </c>
      <c r="I169" s="35">
        <f>I170+I171+I172+I173</f>
        <v>945.914216430373</v>
      </c>
      <c r="J169" s="36">
        <f t="shared" si="137"/>
        <v>-0.067806240980567</v>
      </c>
      <c r="K169" s="35">
        <f>K170+K171+K172+K173</f>
        <v>973.352776480579</v>
      </c>
      <c r="L169" s="36">
        <f t="shared" si="138"/>
        <v>-0.0704076543624507</v>
      </c>
      <c r="M169" s="35">
        <f>M170+M171+M172+M173</f>
        <v>1007.11727046419</v>
      </c>
      <c r="N169" s="36">
        <f t="shared" si="139"/>
        <v>-0.177886356682365</v>
      </c>
      <c r="O169" s="35">
        <f>O170+O171+O172+O173</f>
        <v>1029.5871288222</v>
      </c>
      <c r="P169" s="36">
        <f t="shared" si="140"/>
        <v>0.219093347380379</v>
      </c>
      <c r="Q169" s="127"/>
      <c r="R169" s="127"/>
      <c r="S169" s="131">
        <f t="shared" si="141"/>
        <v>6871.0309646517</v>
      </c>
      <c r="T169" s="132">
        <f t="shared" si="142"/>
        <v>-0.154248424735305</v>
      </c>
      <c r="U169" s="35"/>
      <c r="V169" s="35">
        <f>V170+V171+V172+V173</f>
        <v>1052.83835010239</v>
      </c>
      <c r="W169" s="36">
        <f t="shared" si="143"/>
        <v>-0.0763557871480812</v>
      </c>
      <c r="X169" s="35">
        <f>X170+X171+X172+X173</f>
        <v>1054.90795261523</v>
      </c>
      <c r="Y169" s="36">
        <f t="shared" si="144"/>
        <v>-0.0424559562255595</v>
      </c>
      <c r="Z169" s="35">
        <f>Z170+Z171+Z172+Z173</f>
        <v>1046.29964826801</v>
      </c>
      <c r="AA169" s="36">
        <f t="shared" si="145"/>
        <v>-0.0402169018528927</v>
      </c>
      <c r="AB169" s="35">
        <f>AB170+AB171+AB172+AB173</f>
        <v>1014.71846091887</v>
      </c>
      <c r="AC169" s="36">
        <f t="shared" si="146"/>
        <v>-0.0818556896012878</v>
      </c>
      <c r="AD169" s="35">
        <f>AD170+AD171+AD172+AD173</f>
        <v>1047.07486141467</v>
      </c>
      <c r="AE169" s="36">
        <f t="shared" si="147"/>
        <v>-0.0530601008125561</v>
      </c>
      <c r="AF169" s="35">
        <f>AF170+AF171+AF172+AF173</f>
        <v>1225.0341283718</v>
      </c>
      <c r="AG169" s="36">
        <f t="shared" si="148"/>
        <v>0.0339066139842992</v>
      </c>
      <c r="AH169" s="35">
        <f>AH170+AH171+AH172+AH173</f>
        <v>844.551511198551</v>
      </c>
      <c r="AI169" s="36">
        <f t="shared" si="149"/>
        <v>-0.20357393668315</v>
      </c>
      <c r="AJ169" s="35">
        <f>AJ170+AJ171+AJ172+AJ173</f>
        <v>838.746729949297</v>
      </c>
      <c r="AK169" s="36">
        <f t="shared" si="150"/>
        <v>-0.26003953820844</v>
      </c>
      <c r="AL169" s="35">
        <f>AL170+AL171+AL172+AL173</f>
        <v>877.477566273299</v>
      </c>
      <c r="AM169" s="36">
        <f t="shared" si="151"/>
        <v>-0.128100950761665</v>
      </c>
      <c r="AN169" s="35">
        <f>AN170+AN171+AN172+AN173</f>
        <v>815.048959631178</v>
      </c>
      <c r="AO169" s="36">
        <f t="shared" si="152"/>
        <v>-0.2761911462842</v>
      </c>
      <c r="AP169" s="35">
        <f>AP170+AP171+AP172+AP173</f>
        <v>805.85750006362</v>
      </c>
      <c r="AQ169" s="36">
        <f t="shared" si="153"/>
        <v>-0.23189208591935</v>
      </c>
      <c r="AR169" s="35">
        <f>AR170+AR171+AR172+AR173</f>
        <v>824.61942140084</v>
      </c>
      <c r="AS169" s="36">
        <f t="shared" si="154"/>
        <v>-0.23280328583694</v>
      </c>
      <c r="AT169" s="35">
        <f t="shared" si="155"/>
        <v>11447.1750902078</v>
      </c>
      <c r="AU169" s="36">
        <f t="shared" si="156"/>
        <v>-0.131332945226261</v>
      </c>
      <c r="AV169" s="37"/>
      <c r="AW169" s="38">
        <f>AW170+AW171+AW172+AW173</f>
        <v>1139.8743536232</v>
      </c>
      <c r="AX169" s="37"/>
      <c r="AY169" s="38">
        <f>AY170+AY171+AY172+AY173</f>
        <v>1101.6808672915</v>
      </c>
      <c r="AZ169" s="37"/>
      <c r="BA169" s="38">
        <f>BA170+BA171+BA172+BA173</f>
        <v>1090.14177295675</v>
      </c>
      <c r="BB169" s="37"/>
      <c r="BC169" s="38">
        <f>BC170+BC171+BC172+BC173</f>
        <v>1105.18406466868</v>
      </c>
      <c r="BD169" s="37"/>
      <c r="BE169" s="38">
        <f>BE170+BE171+BE172+BE173</f>
        <v>1105.74584755923</v>
      </c>
      <c r="BF169" s="37"/>
      <c r="BG169" s="38">
        <f>BG170+BG171+BG172+BG173</f>
        <v>1184.85955288647</v>
      </c>
      <c r="BH169" s="37"/>
      <c r="BI169" s="38">
        <f>BI170+BI171+BI172+BI173</f>
        <v>1060.42676162715</v>
      </c>
      <c r="BJ169" s="37"/>
      <c r="BK169" s="38">
        <f>BK170+BK171+BK172+BK173</f>
        <v>1133.5020899881</v>
      </c>
      <c r="BL169" s="37"/>
      <c r="BM169" s="38">
        <f>BM170+BM171+BM172+BM173</f>
        <v>1006.39812262651</v>
      </c>
      <c r="BN169" s="37"/>
      <c r="BO169" s="38">
        <f>BO170+BO171+BO172+BO173</f>
        <v>1126.05552618897</v>
      </c>
      <c r="BP169" s="37"/>
      <c r="BQ169" s="38">
        <f>BQ170+BQ171+BQ172+BQ173</f>
        <v>1049.14620106232</v>
      </c>
      <c r="BR169" s="37"/>
      <c r="BS169" s="38">
        <f>BS170+BS171+BS172+BS173</f>
        <v>1074.84743635851</v>
      </c>
      <c r="BT169" s="37"/>
      <c r="BU169" s="38">
        <f t="shared" si="157"/>
        <v>13177.8625968374</v>
      </c>
      <c r="BV169" s="37"/>
      <c r="BW169" s="39"/>
      <c r="BX169" s="44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</row>
    <row r="170" ht="28.8" customHeight="1" spans="1:88">
      <c r="A170" s="45"/>
      <c r="B170" s="34" t="s">
        <v>301</v>
      </c>
      <c r="C170" s="35">
        <f>班线包车!C51</f>
        <v>447.8643</v>
      </c>
      <c r="D170" s="36">
        <f t="shared" si="134"/>
        <v>0.398974378517237</v>
      </c>
      <c r="E170" s="35">
        <f>班线包车!E51</f>
        <v>448.4483</v>
      </c>
      <c r="F170" s="36">
        <f t="shared" si="135"/>
        <v>0.391781984261274</v>
      </c>
      <c r="G170" s="35">
        <f>班线包车!G51</f>
        <v>460.931</v>
      </c>
      <c r="H170" s="36">
        <f t="shared" si="136"/>
        <v>0.45763820304809</v>
      </c>
      <c r="I170" s="35">
        <f>班线包车!I51</f>
        <v>465.732</v>
      </c>
      <c r="J170" s="36">
        <f t="shared" si="137"/>
        <v>0.47218017210396</v>
      </c>
      <c r="K170" s="35">
        <f>班线包车!K51</f>
        <v>484.5462</v>
      </c>
      <c r="L170" s="36">
        <f t="shared" si="138"/>
        <v>0.489565733847822</v>
      </c>
      <c r="M170" s="35">
        <f>班线包车!M51</f>
        <v>516.0528</v>
      </c>
      <c r="N170" s="36">
        <f t="shared" si="139"/>
        <v>0.0914503764484031</v>
      </c>
      <c r="O170" s="35">
        <f>班线包车!O51</f>
        <v>520.1979</v>
      </c>
      <c r="P170" s="36">
        <f t="shared" si="140"/>
        <v>0.0845968075362478</v>
      </c>
      <c r="Q170" s="127"/>
      <c r="R170" s="127"/>
      <c r="S170" s="131">
        <f t="shared" si="141"/>
        <v>3343.7725</v>
      </c>
      <c r="T170" s="132">
        <f t="shared" si="142"/>
        <v>0.102121722068971</v>
      </c>
      <c r="U170" s="35"/>
      <c r="V170" s="35">
        <f>班线包车!V51</f>
        <v>320.1376</v>
      </c>
      <c r="W170" s="36">
        <f t="shared" si="143"/>
        <v>-0.167136858645826</v>
      </c>
      <c r="X170" s="35">
        <f>班线包车!X51</f>
        <v>322.2116</v>
      </c>
      <c r="Y170" s="36">
        <f t="shared" si="144"/>
        <v>-0.0959392241630866</v>
      </c>
      <c r="Z170" s="35">
        <f>班线包车!Z51</f>
        <v>316.2177</v>
      </c>
      <c r="AA170" s="36">
        <f t="shared" si="145"/>
        <v>-0.0850161111484055</v>
      </c>
      <c r="AB170" s="35">
        <f>班线包车!AB51</f>
        <v>316.3553</v>
      </c>
      <c r="AC170" s="36">
        <f t="shared" si="146"/>
        <v>-0.0986681823944795</v>
      </c>
      <c r="AD170" s="35">
        <f>班线包车!AD51</f>
        <v>325.2936</v>
      </c>
      <c r="AE170" s="36">
        <f t="shared" si="147"/>
        <v>-0.0816077967470263</v>
      </c>
      <c r="AF170" s="35">
        <f>班线包车!AF51</f>
        <v>472.8138</v>
      </c>
      <c r="AG170" s="36">
        <f t="shared" si="148"/>
        <v>0.280218280593562</v>
      </c>
      <c r="AH170" s="35">
        <f>班线包车!AH51</f>
        <v>479.6233</v>
      </c>
      <c r="AI170" s="36">
        <f t="shared" si="149"/>
        <v>0.288570750005239</v>
      </c>
      <c r="AJ170" s="35">
        <f>班线包车!AJ51</f>
        <v>481.2883</v>
      </c>
      <c r="AK170" s="36">
        <f t="shared" si="150"/>
        <v>0.295588431645752</v>
      </c>
      <c r="AL170" s="35">
        <f>班线包车!AL51</f>
        <v>526.2857</v>
      </c>
      <c r="AM170" s="36">
        <f t="shared" si="151"/>
        <v>0.398572688957274</v>
      </c>
      <c r="AN170" s="35">
        <f>班线包车!AN51</f>
        <v>445.2084</v>
      </c>
      <c r="AO170" s="36">
        <f t="shared" si="152"/>
        <v>0.137854969165786</v>
      </c>
      <c r="AP170" s="35">
        <f>班线包车!AP51</f>
        <v>440.1304</v>
      </c>
      <c r="AQ170" s="36">
        <f t="shared" si="153"/>
        <v>0.107099511586766</v>
      </c>
      <c r="AR170" s="35">
        <f>班线包车!AR51</f>
        <v>440.8022</v>
      </c>
      <c r="AS170" s="36">
        <f t="shared" si="154"/>
        <v>0.0878656936799713</v>
      </c>
      <c r="AT170" s="35">
        <f t="shared" si="155"/>
        <v>4886.3679</v>
      </c>
      <c r="AU170" s="36">
        <f t="shared" si="156"/>
        <v>0.0919468214113979</v>
      </c>
      <c r="AV170" s="37"/>
      <c r="AW170" s="35">
        <v>384.382</v>
      </c>
      <c r="AX170" s="36"/>
      <c r="AY170" s="35">
        <v>356.4048</v>
      </c>
      <c r="AZ170" s="36"/>
      <c r="BA170" s="35">
        <v>345.5992</v>
      </c>
      <c r="BB170" s="36"/>
      <c r="BC170" s="35">
        <v>350.9865</v>
      </c>
      <c r="BD170" s="36"/>
      <c r="BE170" s="35">
        <v>354.199</v>
      </c>
      <c r="BF170" s="36"/>
      <c r="BG170" s="35">
        <v>369.3228</v>
      </c>
      <c r="BH170" s="36"/>
      <c r="BI170" s="35">
        <v>372.2134</v>
      </c>
      <c r="BJ170" s="36"/>
      <c r="BK170" s="35">
        <v>371.4824</v>
      </c>
      <c r="BL170" s="36"/>
      <c r="BM170" s="35">
        <v>376.302</v>
      </c>
      <c r="BN170" s="36"/>
      <c r="BO170" s="35">
        <v>391.2699</v>
      </c>
      <c r="BP170" s="36"/>
      <c r="BQ170" s="35">
        <v>397.5527</v>
      </c>
      <c r="BR170" s="36"/>
      <c r="BS170" s="35">
        <v>405.1991</v>
      </c>
      <c r="BT170" s="36"/>
      <c r="BU170" s="35">
        <f t="shared" si="157"/>
        <v>4474.9138</v>
      </c>
      <c r="BV170" s="36"/>
      <c r="BW170" s="40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7"/>
    </row>
    <row r="171" ht="28.8" customHeight="1" spans="1:88">
      <c r="A171" s="45"/>
      <c r="B171" s="34" t="s">
        <v>302</v>
      </c>
      <c r="C171" s="35">
        <f>公交!C62-公交!C64</f>
        <v>268</v>
      </c>
      <c r="D171" s="36">
        <f t="shared" si="134"/>
        <v>-0.603139345476085</v>
      </c>
      <c r="E171" s="35">
        <f>公交!E62-公交!E64</f>
        <v>275.12</v>
      </c>
      <c r="F171" s="36">
        <f t="shared" si="135"/>
        <v>-0.584285282562708</v>
      </c>
      <c r="G171" s="35">
        <f>公交!G62-公交!G64</f>
        <v>266.86</v>
      </c>
      <c r="H171" s="36">
        <f t="shared" si="136"/>
        <v>-0.588115449915111</v>
      </c>
      <c r="I171" s="35">
        <f>公交!I62-公交!I64</f>
        <v>268.26</v>
      </c>
      <c r="J171" s="36">
        <f t="shared" si="137"/>
        <v>-0.579793233082707</v>
      </c>
      <c r="K171" s="35">
        <f>公交!K62-公交!K64</f>
        <v>266.7</v>
      </c>
      <c r="L171" s="36">
        <f t="shared" si="138"/>
        <v>-0.594619243046056</v>
      </c>
      <c r="M171" s="35">
        <f>公交!M62-公交!M64</f>
        <v>262.72</v>
      </c>
      <c r="N171" s="36">
        <f t="shared" si="139"/>
        <v>-0.617026239067055</v>
      </c>
      <c r="O171" s="35">
        <f>公交!O62-公交!O64</f>
        <v>267.26</v>
      </c>
      <c r="P171" s="36">
        <f t="shared" si="140"/>
        <v>-0.080569698637677</v>
      </c>
      <c r="Q171" s="127"/>
      <c r="R171" s="127"/>
      <c r="S171" s="131">
        <f t="shared" si="141"/>
        <v>1874.92</v>
      </c>
      <c r="T171" s="132">
        <f t="shared" si="142"/>
        <v>-0.58721114555446</v>
      </c>
      <c r="U171" s="35"/>
      <c r="V171" s="35">
        <f>公交!V62-公交!V64</f>
        <v>675.3</v>
      </c>
      <c r="W171" s="36">
        <f t="shared" si="143"/>
        <v>0.291698546289212</v>
      </c>
      <c r="X171" s="35">
        <f>公交!X62-公交!X64</f>
        <v>661.8</v>
      </c>
      <c r="Y171" s="36">
        <f t="shared" si="144"/>
        <v>0.103183863977329</v>
      </c>
      <c r="Z171" s="35">
        <f>公交!Z62-公交!Z64</f>
        <v>647.9</v>
      </c>
      <c r="AA171" s="36">
        <f t="shared" si="145"/>
        <v>0.0473650177820888</v>
      </c>
      <c r="AB171" s="35">
        <f>公交!AB62-公交!AB64</f>
        <v>638.4</v>
      </c>
      <c r="AC171" s="36">
        <f t="shared" si="146"/>
        <v>0.0237331622835149</v>
      </c>
      <c r="AD171" s="35">
        <f>公交!AD62-公交!AD64</f>
        <v>657.9</v>
      </c>
      <c r="AE171" s="36">
        <f t="shared" si="147"/>
        <v>0.0601031260070897</v>
      </c>
      <c r="AF171" s="35">
        <f>公交!AF62-公交!AF64</f>
        <v>686</v>
      </c>
      <c r="AG171" s="36">
        <f t="shared" si="148"/>
        <v>0.107523409751372</v>
      </c>
      <c r="AH171" s="35">
        <f>公交!AH62-公交!AH64</f>
        <v>290.68</v>
      </c>
      <c r="AI171" s="36">
        <f t="shared" si="149"/>
        <v>-0.471586984184694</v>
      </c>
      <c r="AJ171" s="35">
        <f>公交!AJ62-公交!AJ64</f>
        <v>284.1</v>
      </c>
      <c r="AK171" s="36">
        <f t="shared" si="150"/>
        <v>-0.492497320471597</v>
      </c>
      <c r="AL171" s="35">
        <f>公交!AL62-公交!AL64</f>
        <v>277.4</v>
      </c>
      <c r="AM171" s="36">
        <f t="shared" si="151"/>
        <v>-0.453614339176679</v>
      </c>
      <c r="AN171" s="35">
        <f>公交!AN62-公交!AN64</f>
        <v>290.2</v>
      </c>
      <c r="AO171" s="36">
        <f t="shared" si="152"/>
        <v>-0.51463455427329</v>
      </c>
      <c r="AP171" s="35">
        <f>公交!AP62-公交!AP64</f>
        <v>268.2</v>
      </c>
      <c r="AQ171" s="36">
        <f t="shared" si="153"/>
        <v>-0.493293028528245</v>
      </c>
      <c r="AR171" s="35">
        <f>公交!AR62-公交!AR64</f>
        <v>246.1</v>
      </c>
      <c r="AS171" s="36">
        <f t="shared" si="154"/>
        <v>-0.546610169491525</v>
      </c>
      <c r="AT171" s="35">
        <f t="shared" si="155"/>
        <v>5623.98</v>
      </c>
      <c r="AU171" s="36">
        <f t="shared" si="156"/>
        <v>-0.184043525571273</v>
      </c>
      <c r="AV171" s="37"/>
      <c r="AW171" s="35">
        <v>522.8</v>
      </c>
      <c r="AX171" s="36"/>
      <c r="AY171" s="35">
        <v>599.9</v>
      </c>
      <c r="AZ171" s="36"/>
      <c r="BA171" s="35">
        <v>618.6</v>
      </c>
      <c r="BB171" s="36"/>
      <c r="BC171" s="35">
        <v>623.6</v>
      </c>
      <c r="BD171" s="36"/>
      <c r="BE171" s="35">
        <v>620.6</v>
      </c>
      <c r="BF171" s="36"/>
      <c r="BG171" s="35">
        <v>619.4</v>
      </c>
      <c r="BH171" s="36"/>
      <c r="BI171" s="35">
        <v>550.1</v>
      </c>
      <c r="BJ171" s="36"/>
      <c r="BK171" s="35">
        <v>559.8</v>
      </c>
      <c r="BL171" s="36"/>
      <c r="BM171" s="35">
        <v>507.7</v>
      </c>
      <c r="BN171" s="36"/>
      <c r="BO171" s="35">
        <v>597.9</v>
      </c>
      <c r="BP171" s="36"/>
      <c r="BQ171" s="35">
        <v>529.3</v>
      </c>
      <c r="BR171" s="36"/>
      <c r="BS171" s="35">
        <v>542.8</v>
      </c>
      <c r="BT171" s="36"/>
      <c r="BU171" s="35">
        <f t="shared" si="157"/>
        <v>6892.5</v>
      </c>
      <c r="BV171" s="36"/>
      <c r="BW171" s="40"/>
      <c r="BX171" s="49"/>
      <c r="BY171" s="49"/>
      <c r="BZ171" s="49"/>
      <c r="CA171" s="49"/>
      <c r="CB171" s="49"/>
      <c r="CC171" s="49"/>
      <c r="CD171" s="50"/>
      <c r="CE171" s="49"/>
      <c r="CF171" s="50"/>
      <c r="CG171" s="50"/>
      <c r="CH171" s="50"/>
      <c r="CI171" s="50"/>
      <c r="CJ171" s="47"/>
    </row>
    <row r="172" ht="28.8" customHeight="1" spans="1:88">
      <c r="A172" s="45"/>
      <c r="B172" s="34" t="s">
        <v>303</v>
      </c>
      <c r="C172" s="35">
        <f>出租!C62-出租!C64</f>
        <v>89.77</v>
      </c>
      <c r="D172" s="36">
        <f t="shared" si="134"/>
        <v>0.951521739130436</v>
      </c>
      <c r="E172" s="35">
        <f>出租!E62-出租!E64</f>
        <v>98.6</v>
      </c>
      <c r="F172" s="36">
        <f t="shared" si="135"/>
        <v>0.8125</v>
      </c>
      <c r="G172" s="35">
        <f>出租!G62-出租!G64</f>
        <v>94.34</v>
      </c>
      <c r="H172" s="36">
        <f t="shared" si="136"/>
        <v>0.684642857142856</v>
      </c>
      <c r="I172" s="35">
        <f>出租!I62-出租!I64</f>
        <v>78.65</v>
      </c>
      <c r="J172" s="36">
        <f t="shared" si="137"/>
        <v>0.803899082568808</v>
      </c>
      <c r="K172" s="35">
        <f>出租!K62-出租!K64</f>
        <v>76.01</v>
      </c>
      <c r="L172" s="36">
        <f t="shared" si="138"/>
        <v>0.775934579439252</v>
      </c>
      <c r="M172" s="35">
        <f>出租!M62-出租!M64</f>
        <v>77.96</v>
      </c>
      <c r="N172" s="36">
        <f t="shared" si="139"/>
        <v>0.788073394495413</v>
      </c>
      <c r="O172" s="35">
        <f>出租!O62-出租!O64</f>
        <v>81.65</v>
      </c>
      <c r="P172" s="36">
        <f t="shared" si="140"/>
        <v>0.779642545771579</v>
      </c>
      <c r="Q172" s="127"/>
      <c r="R172" s="127"/>
      <c r="S172" s="131">
        <f t="shared" si="141"/>
        <v>596.98</v>
      </c>
      <c r="T172" s="132">
        <f t="shared" si="142"/>
        <v>0.572489727109894</v>
      </c>
      <c r="U172" s="35"/>
      <c r="V172" s="35">
        <f>出租!V62-出租!V64</f>
        <v>46</v>
      </c>
      <c r="W172" s="36">
        <f t="shared" si="143"/>
        <v>-0.516806722689076</v>
      </c>
      <c r="X172" s="35">
        <f>出租!X62-出租!X64</f>
        <v>54.4</v>
      </c>
      <c r="Y172" s="36">
        <f t="shared" si="144"/>
        <v>-0.32397166645955</v>
      </c>
      <c r="Z172" s="35">
        <f>出租!Z62-出租!Z64</f>
        <v>56</v>
      </c>
      <c r="AA172" s="36">
        <f t="shared" si="145"/>
        <v>0.039346696362287</v>
      </c>
      <c r="AB172" s="35">
        <f>出租!AB62-出租!AB64</f>
        <v>43.6</v>
      </c>
      <c r="AC172" s="36">
        <f t="shared" si="146"/>
        <v>-0.116514690982776</v>
      </c>
      <c r="AD172" s="35">
        <f>出租!AD62-出租!AD64</f>
        <v>42.8</v>
      </c>
      <c r="AE172" s="36">
        <f t="shared" si="147"/>
        <v>-0.0813479287400728</v>
      </c>
      <c r="AF172" s="35">
        <f>出租!AF62-出租!AF64</f>
        <v>43.6</v>
      </c>
      <c r="AG172" s="36">
        <f t="shared" si="148"/>
        <v>-0.0828775767774507</v>
      </c>
      <c r="AH172" s="35">
        <f>出租!AH62-出租!AH64</f>
        <v>45.88</v>
      </c>
      <c r="AI172" s="36">
        <f t="shared" si="149"/>
        <v>-0.0663410663410664</v>
      </c>
      <c r="AJ172" s="35">
        <f>出租!AJ62-出租!AJ64</f>
        <v>47.36</v>
      </c>
      <c r="AK172" s="36">
        <f t="shared" si="150"/>
        <v>-0.103200151486461</v>
      </c>
      <c r="AL172" s="35">
        <f>出租!AL62-出租!AL64</f>
        <v>48.68</v>
      </c>
      <c r="AM172" s="36">
        <f t="shared" si="151"/>
        <v>0.00516208961387576</v>
      </c>
      <c r="AN172" s="35">
        <f>出租!AN62-出租!AN64</f>
        <v>48.42</v>
      </c>
      <c r="AO172" s="36">
        <f t="shared" si="152"/>
        <v>-0.128823317740195</v>
      </c>
      <c r="AP172" s="35">
        <f>出租!AP62-出租!AP64</f>
        <v>47.52</v>
      </c>
      <c r="AQ172" s="36">
        <f t="shared" si="153"/>
        <v>0.0330434782608697</v>
      </c>
      <c r="AR172" s="35">
        <f>出租!AR62-出租!AR64</f>
        <v>46.7</v>
      </c>
      <c r="AS172" s="36">
        <f t="shared" si="154"/>
        <v>0.0331858407079644</v>
      </c>
      <c r="AT172" s="35">
        <f t="shared" si="155"/>
        <v>570.96</v>
      </c>
      <c r="AU172" s="36">
        <f t="shared" si="156"/>
        <v>-0.148062489741715</v>
      </c>
      <c r="AV172" s="37"/>
      <c r="AW172" s="35">
        <v>95.2</v>
      </c>
      <c r="AX172" s="36"/>
      <c r="AY172" s="35">
        <v>80.47</v>
      </c>
      <c r="AZ172" s="36"/>
      <c r="BA172" s="35">
        <v>53.88</v>
      </c>
      <c r="BB172" s="36"/>
      <c r="BC172" s="35">
        <v>49.35</v>
      </c>
      <c r="BD172" s="36"/>
      <c r="BE172" s="35">
        <v>46.59</v>
      </c>
      <c r="BF172" s="36"/>
      <c r="BG172" s="35">
        <v>47.54</v>
      </c>
      <c r="BH172" s="36"/>
      <c r="BI172" s="35">
        <v>49.14</v>
      </c>
      <c r="BJ172" s="36"/>
      <c r="BK172" s="35">
        <v>52.81</v>
      </c>
      <c r="BL172" s="36"/>
      <c r="BM172" s="35">
        <v>48.43</v>
      </c>
      <c r="BN172" s="36"/>
      <c r="BO172" s="35">
        <v>55.58</v>
      </c>
      <c r="BP172" s="36"/>
      <c r="BQ172" s="35">
        <v>46</v>
      </c>
      <c r="BR172" s="36"/>
      <c r="BS172" s="35">
        <v>45.2</v>
      </c>
      <c r="BT172" s="36"/>
      <c r="BU172" s="35">
        <f t="shared" si="157"/>
        <v>670.19</v>
      </c>
      <c r="BV172" s="36"/>
      <c r="BW172" s="40"/>
      <c r="BX172" s="49"/>
      <c r="BY172" s="49"/>
      <c r="BZ172" s="49"/>
      <c r="CA172" s="49"/>
      <c r="CB172" s="49"/>
      <c r="CC172" s="49"/>
      <c r="CD172" s="50"/>
      <c r="CE172" s="49"/>
      <c r="CF172" s="50"/>
      <c r="CG172" s="50"/>
      <c r="CH172" s="50"/>
      <c r="CI172" s="50"/>
      <c r="CJ172" s="47"/>
    </row>
    <row r="173" ht="28.8" customHeight="1" spans="1:88">
      <c r="A173" s="29"/>
      <c r="B173" s="34" t="s">
        <v>304</v>
      </c>
      <c r="C173" s="35">
        <f>网约车!C62-网约车!C64</f>
        <v>153.07895430899</v>
      </c>
      <c r="D173" s="36">
        <f t="shared" si="134"/>
        <v>12.4270949660518</v>
      </c>
      <c r="E173" s="35">
        <f>网约车!E62-网约车!E64</f>
        <v>161.504683148429</v>
      </c>
      <c r="F173" s="36">
        <f t="shared" si="135"/>
        <v>8.79032680226006</v>
      </c>
      <c r="G173" s="35">
        <f>网约车!G62-网约车!G64</f>
        <v>150.542334996947</v>
      </c>
      <c r="H173" s="36">
        <f t="shared" si="136"/>
        <v>4.74985228203517</v>
      </c>
      <c r="I173" s="35">
        <f>网约车!I62-网约车!I64</f>
        <v>133.272216430373</v>
      </c>
      <c r="J173" s="36">
        <f t="shared" si="137"/>
        <v>7.14464986876103</v>
      </c>
      <c r="K173" s="35">
        <f>网约车!K62-网约车!K64</f>
        <v>146.096576480579</v>
      </c>
      <c r="L173" s="36">
        <f t="shared" si="138"/>
        <v>5.93016293507388</v>
      </c>
      <c r="M173" s="35">
        <f>网约车!M62-网约车!M64</f>
        <v>150.384470464185</v>
      </c>
      <c r="N173" s="36">
        <f t="shared" si="139"/>
        <v>5.64820014954585</v>
      </c>
      <c r="O173" s="35">
        <f>网约车!O62-网约车!O64</f>
        <v>160.479228822199</v>
      </c>
      <c r="P173" s="36">
        <f t="shared" si="140"/>
        <v>4.65700909722489</v>
      </c>
      <c r="Q173" s="127"/>
      <c r="R173" s="127"/>
      <c r="S173" s="131">
        <f t="shared" si="141"/>
        <v>1055.3584646517</v>
      </c>
      <c r="T173" s="132">
        <f t="shared" si="142"/>
        <v>5.26286684001624</v>
      </c>
      <c r="U173" s="35"/>
      <c r="V173" s="35">
        <f>网约车!V62-网约车!V64</f>
        <v>11.4007501023881</v>
      </c>
      <c r="W173" s="36">
        <f t="shared" si="143"/>
        <v>-0.917080842665388</v>
      </c>
      <c r="X173" s="35">
        <f>网约车!X62-网约车!X64</f>
        <v>16.496352615231</v>
      </c>
      <c r="Y173" s="36">
        <f t="shared" si="144"/>
        <v>-0.745842672286007</v>
      </c>
      <c r="Z173" s="35">
        <f>网约车!Z62-网约车!Z64</f>
        <v>26.1819482680105</v>
      </c>
      <c r="AA173" s="36">
        <f t="shared" si="145"/>
        <v>-0.636677581804857</v>
      </c>
      <c r="AB173" s="35">
        <f>网约车!AB62-网约车!AB64</f>
        <v>16.3631609188679</v>
      </c>
      <c r="AC173" s="36">
        <f t="shared" si="146"/>
        <v>-0.798601213641343</v>
      </c>
      <c r="AD173" s="35">
        <f>网约车!AD62-网约车!AD64</f>
        <v>21.0812614146743</v>
      </c>
      <c r="AE173" s="36">
        <f t="shared" si="147"/>
        <v>-0.750094248129984</v>
      </c>
      <c r="AF173" s="35">
        <f>网约车!AF62-网约车!AF64</f>
        <v>22.6203283718012</v>
      </c>
      <c r="AG173" s="36">
        <f t="shared" si="148"/>
        <v>-0.847773737094488</v>
      </c>
      <c r="AH173" s="35">
        <f>网约车!AH62-网约车!AH64</f>
        <v>28.3682111985508</v>
      </c>
      <c r="AI173" s="36">
        <f t="shared" si="149"/>
        <v>-0.68116062291286</v>
      </c>
      <c r="AJ173" s="35">
        <f>网约车!AJ62-网约车!AJ64</f>
        <v>25.9984299492969</v>
      </c>
      <c r="AK173" s="36">
        <f t="shared" si="150"/>
        <v>-0.825992343927849</v>
      </c>
      <c r="AL173" s="35">
        <f>网约车!AL62-网约车!AL64</f>
        <v>25.1118662732987</v>
      </c>
      <c r="AM173" s="36">
        <f t="shared" si="151"/>
        <v>-0.660495029594825</v>
      </c>
      <c r="AN173" s="35">
        <f>网约车!AN62-网约车!AN64</f>
        <v>31.2205596311783</v>
      </c>
      <c r="AO173" s="36">
        <f t="shared" si="152"/>
        <v>-0.616009849569119</v>
      </c>
      <c r="AP173" s="35">
        <f>网约车!AP62-网约车!AP64</f>
        <v>50.0071000636201</v>
      </c>
      <c r="AQ173" s="36">
        <f t="shared" si="153"/>
        <v>-0.344543121402056</v>
      </c>
      <c r="AR173" s="35">
        <f>网约车!AR62-网约车!AR64</f>
        <v>91.01722140084</v>
      </c>
      <c r="AS173" s="36">
        <f t="shared" si="154"/>
        <v>0.11474679656899</v>
      </c>
      <c r="AT173" s="35">
        <f t="shared" si="155"/>
        <v>365.867190207758</v>
      </c>
      <c r="AU173" s="36">
        <f t="shared" si="156"/>
        <v>-0.679136708944916</v>
      </c>
      <c r="AV173" s="37"/>
      <c r="AW173" s="35">
        <v>137.492353623198</v>
      </c>
      <c r="AX173" s="36"/>
      <c r="AY173" s="35">
        <v>64.9060672914952</v>
      </c>
      <c r="AZ173" s="36"/>
      <c r="BA173" s="35">
        <v>72.0625729567505</v>
      </c>
      <c r="BB173" s="36"/>
      <c r="BC173" s="35">
        <v>81.2475646686764</v>
      </c>
      <c r="BD173" s="36"/>
      <c r="BE173" s="35">
        <v>84.3568475592323</v>
      </c>
      <c r="BF173" s="36"/>
      <c r="BG173" s="35">
        <v>148.59675288647</v>
      </c>
      <c r="BH173" s="36"/>
      <c r="BI173" s="35">
        <v>88.9733616271546</v>
      </c>
      <c r="BJ173" s="36"/>
      <c r="BK173" s="35">
        <v>149.409689988105</v>
      </c>
      <c r="BL173" s="36"/>
      <c r="BM173" s="35">
        <v>73.9661226265096</v>
      </c>
      <c r="BN173" s="36"/>
      <c r="BO173" s="35">
        <v>81.3056261889666</v>
      </c>
      <c r="BP173" s="36"/>
      <c r="BQ173" s="35">
        <v>76.2935010623244</v>
      </c>
      <c r="BR173" s="36"/>
      <c r="BS173" s="35">
        <v>81.6483363585132</v>
      </c>
      <c r="BT173" s="36"/>
      <c r="BU173" s="35">
        <f t="shared" si="157"/>
        <v>1140.2587968374</v>
      </c>
      <c r="BV173" s="36"/>
      <c r="BW173" s="40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7"/>
    </row>
    <row r="174" s="15" customFormat="1" ht="28.8" customHeight="1" spans="1:88">
      <c r="A174" s="48" t="s">
        <v>108</v>
      </c>
      <c r="B174" s="34" t="s">
        <v>300</v>
      </c>
      <c r="C174" s="35">
        <f>C175+C176+C177+C178</f>
        <v>2392.03306788899</v>
      </c>
      <c r="D174" s="36">
        <f t="shared" si="134"/>
        <v>-0.035535219049302</v>
      </c>
      <c r="E174" s="35">
        <f>E175+E176+E177+E178</f>
        <v>2347.01153795417</v>
      </c>
      <c r="F174" s="36">
        <f t="shared" si="135"/>
        <v>0.0189674933135731</v>
      </c>
      <c r="G174" s="35">
        <f>G175+G176+G177+G178</f>
        <v>2163.53048158518</v>
      </c>
      <c r="H174" s="36">
        <f t="shared" si="136"/>
        <v>0.0365012040192594</v>
      </c>
      <c r="I174" s="35">
        <f>I175+I176+I177+I178</f>
        <v>2165.26981631797</v>
      </c>
      <c r="J174" s="36">
        <f t="shared" si="137"/>
        <v>-0.0547807634414691</v>
      </c>
      <c r="K174" s="35">
        <f>K175+K176+K177+K178</f>
        <v>2323.90882205633</v>
      </c>
      <c r="L174" s="36">
        <f t="shared" si="138"/>
        <v>-0.0629508224511314</v>
      </c>
      <c r="M174" s="35">
        <f>M175+M176+M177+M178</f>
        <v>2380.38599334565</v>
      </c>
      <c r="N174" s="36">
        <f t="shared" si="139"/>
        <v>-0.0844378544150196</v>
      </c>
      <c r="O174" s="35">
        <f>O175+O176+O177+O178</f>
        <v>2471.53920658563</v>
      </c>
      <c r="P174" s="36">
        <f t="shared" si="140"/>
        <v>-0.0990865066931894</v>
      </c>
      <c r="Q174" s="127"/>
      <c r="R174" s="127"/>
      <c r="S174" s="131">
        <f t="shared" si="141"/>
        <v>16243.6789257339</v>
      </c>
      <c r="T174" s="132">
        <f t="shared" si="142"/>
        <v>-0.170107934302876</v>
      </c>
      <c r="U174" s="35"/>
      <c r="V174" s="35">
        <f>V175+V176+V177+V178</f>
        <v>2480.16632139859</v>
      </c>
      <c r="W174" s="36">
        <f t="shared" si="143"/>
        <v>0.00330512781685788</v>
      </c>
      <c r="X174" s="35">
        <f>X175+X176+X177+X178</f>
        <v>2303.32326924575</v>
      </c>
      <c r="Y174" s="36">
        <f t="shared" si="144"/>
        <v>0.0651585220208306</v>
      </c>
      <c r="Z174" s="35">
        <f>Z175+Z176+Z177+Z178</f>
        <v>2087.34005633145</v>
      </c>
      <c r="AA174" s="36">
        <f t="shared" si="145"/>
        <v>0.0708633684428219</v>
      </c>
      <c r="AB174" s="35">
        <f>AB175+AB176+AB177+AB178</f>
        <v>2290.75936308866</v>
      </c>
      <c r="AC174" s="36">
        <f t="shared" si="146"/>
        <v>0.0198611760857677</v>
      </c>
      <c r="AD174" s="35">
        <f>AD175+AD176+AD177+AD178</f>
        <v>2480.02866630245</v>
      </c>
      <c r="AE174" s="36">
        <f t="shared" si="147"/>
        <v>-0.0019270356332961</v>
      </c>
      <c r="AF174" s="35">
        <f>AF175+AF176+AF177+AF178</f>
        <v>2599.91744397072</v>
      </c>
      <c r="AG174" s="36">
        <f t="shared" si="148"/>
        <v>-0.0379206453494741</v>
      </c>
      <c r="AH174" s="35">
        <f>AH175+AH176+AH177+AH178</f>
        <v>2743.37017365987</v>
      </c>
      <c r="AI174" s="36">
        <f t="shared" si="149"/>
        <v>-0.0134081348031855</v>
      </c>
      <c r="AJ174" s="35">
        <f>AJ175+AJ176+AJ177+AJ178</f>
        <v>2588.33753739278</v>
      </c>
      <c r="AK174" s="36">
        <f t="shared" si="150"/>
        <v>-0.0629531483297124</v>
      </c>
      <c r="AL174" s="35">
        <f>AL175+AL176+AL177+AL178</f>
        <v>2522.97800387872</v>
      </c>
      <c r="AM174" s="36">
        <f t="shared" si="151"/>
        <v>-0.0137529001102105</v>
      </c>
      <c r="AN174" s="35">
        <f>AN175+AN176+AN177+AN178</f>
        <v>2722.17507444759</v>
      </c>
      <c r="AO174" s="36">
        <f t="shared" si="152"/>
        <v>-0.0166794458677401</v>
      </c>
      <c r="AP174" s="35">
        <f>AP175+AP176+AP177+AP178</f>
        <v>2479.08873654132</v>
      </c>
      <c r="AQ174" s="36">
        <f t="shared" si="153"/>
        <v>-0.00442456866160734</v>
      </c>
      <c r="AR174" s="35">
        <f>AR175+AR176+AR177+AR178</f>
        <v>2500.16775658982</v>
      </c>
      <c r="AS174" s="36">
        <f t="shared" si="154"/>
        <v>0.00109525584469816</v>
      </c>
      <c r="AT174" s="35">
        <f t="shared" si="155"/>
        <v>29797.6524028477</v>
      </c>
      <c r="AU174" s="36">
        <f t="shared" si="156"/>
        <v>-0.00255302097043109</v>
      </c>
      <c r="AV174" s="37"/>
      <c r="AW174" s="38">
        <f>AW175+AW176+AW177+AW178</f>
        <v>2471.9960584626</v>
      </c>
      <c r="AX174" s="37"/>
      <c r="AY174" s="38">
        <f>AY175+AY176+AY177+AY178</f>
        <v>2162.42298364741</v>
      </c>
      <c r="AZ174" s="37"/>
      <c r="BA174" s="38">
        <f>BA175+BA176+BA177+BA178</f>
        <v>1949.21230648381</v>
      </c>
      <c r="BB174" s="37"/>
      <c r="BC174" s="38">
        <f>BC175+BC176+BC177+BC178</f>
        <v>2246.1482178198</v>
      </c>
      <c r="BD174" s="37"/>
      <c r="BE174" s="38">
        <f>BE175+BE176+BE177+BE178</f>
        <v>2484.81699719827</v>
      </c>
      <c r="BF174" s="37"/>
      <c r="BG174" s="38">
        <f>BG175+BG176+BG177+BG178</f>
        <v>2702.39396719529</v>
      </c>
      <c r="BH174" s="37"/>
      <c r="BI174" s="38">
        <f>BI175+BI176+BI177+BI178</f>
        <v>2780.65355131688</v>
      </c>
      <c r="BJ174" s="37"/>
      <c r="BK174" s="38">
        <f>BK175+BK176+BK177+BK178</f>
        <v>2762.22851907465</v>
      </c>
      <c r="BL174" s="37"/>
      <c r="BM174" s="38">
        <f>BM175+BM176+BM177+BM178</f>
        <v>2558.16012453741</v>
      </c>
      <c r="BN174" s="37"/>
      <c r="BO174" s="38">
        <f>BO175+BO176+BO177+BO178</f>
        <v>2768.34961194297</v>
      </c>
      <c r="BP174" s="37"/>
      <c r="BQ174" s="38">
        <f>BQ175+BQ176+BQ177+BQ178</f>
        <v>2490.10638320853</v>
      </c>
      <c r="BR174" s="37"/>
      <c r="BS174" s="38">
        <f>BS175+BS176+BS177+BS178</f>
        <v>2497.43242912509</v>
      </c>
      <c r="BT174" s="37"/>
      <c r="BU174" s="38">
        <f t="shared" si="157"/>
        <v>29873.9211500127</v>
      </c>
      <c r="BV174" s="37"/>
      <c r="BW174" s="39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</row>
    <row r="175" ht="28.8" customHeight="1" spans="1:88">
      <c r="A175" s="45"/>
      <c r="B175" s="34" t="s">
        <v>301</v>
      </c>
      <c r="C175" s="35">
        <f>班线包车!C53</f>
        <v>237.4332</v>
      </c>
      <c r="D175" s="36">
        <f t="shared" si="134"/>
        <v>-0.106984070507553</v>
      </c>
      <c r="E175" s="35">
        <f>班线包车!E53</f>
        <v>176.7706</v>
      </c>
      <c r="F175" s="36">
        <f t="shared" si="135"/>
        <v>-0.100896862126966</v>
      </c>
      <c r="G175" s="35">
        <f>班线包车!G53</f>
        <v>172.2912</v>
      </c>
      <c r="H175" s="36">
        <f t="shared" si="136"/>
        <v>0.069308110523572</v>
      </c>
      <c r="I175" s="35">
        <f>班线包车!I53</f>
        <v>179.4491</v>
      </c>
      <c r="J175" s="36">
        <f t="shared" si="137"/>
        <v>0.221724543136045</v>
      </c>
      <c r="K175" s="35">
        <f>班线包车!K53</f>
        <v>154.2538</v>
      </c>
      <c r="L175" s="36">
        <f t="shared" si="138"/>
        <v>-0.0652315926364485</v>
      </c>
      <c r="M175" s="35">
        <f>班线包车!M53</f>
        <v>175.321</v>
      </c>
      <c r="N175" s="36">
        <f t="shared" si="139"/>
        <v>-0.0277121529741902</v>
      </c>
      <c r="O175" s="35">
        <f>班线包车!O53</f>
        <v>169.9825</v>
      </c>
      <c r="P175" s="36">
        <f t="shared" si="140"/>
        <v>-0.101985345005204</v>
      </c>
      <c r="Q175" s="127"/>
      <c r="R175" s="127"/>
      <c r="S175" s="131">
        <f t="shared" si="141"/>
        <v>1265.5014</v>
      </c>
      <c r="T175" s="132">
        <f t="shared" si="142"/>
        <v>-0.170921202158341</v>
      </c>
      <c r="U175" s="35"/>
      <c r="V175" s="35">
        <f>班线包车!V53</f>
        <v>265.8779</v>
      </c>
      <c r="W175" s="36">
        <f t="shared" si="143"/>
        <v>0.0767639803647371</v>
      </c>
      <c r="X175" s="35">
        <f>班线包车!X53</f>
        <v>196.6077</v>
      </c>
      <c r="Y175" s="36">
        <f t="shared" si="144"/>
        <v>0.557510773813296</v>
      </c>
      <c r="Z175" s="35">
        <f>班线包车!Z53</f>
        <v>161.124</v>
      </c>
      <c r="AA175" s="36">
        <f t="shared" si="145"/>
        <v>0.195421128425195</v>
      </c>
      <c r="AB175" s="35">
        <f>班线包车!AB53</f>
        <v>146.8818</v>
      </c>
      <c r="AC175" s="36">
        <f t="shared" si="146"/>
        <v>-0.0915484987045694</v>
      </c>
      <c r="AD175" s="35">
        <f>班线包车!AD53</f>
        <v>165.0182</v>
      </c>
      <c r="AE175" s="36">
        <f t="shared" si="147"/>
        <v>-0.121539446779945</v>
      </c>
      <c r="AF175" s="35">
        <f>班线包车!AF53</f>
        <v>180.318</v>
      </c>
      <c r="AG175" s="36">
        <f t="shared" si="148"/>
        <v>-0.116384506371393</v>
      </c>
      <c r="AH175" s="35">
        <f>班线包车!AH53</f>
        <v>189.287</v>
      </c>
      <c r="AI175" s="36">
        <f t="shared" si="149"/>
        <v>-0.276876134853335</v>
      </c>
      <c r="AJ175" s="35">
        <f>班线包车!AJ53</f>
        <v>221.28</v>
      </c>
      <c r="AK175" s="36">
        <f t="shared" si="150"/>
        <v>-0.1430735652446</v>
      </c>
      <c r="AL175" s="35">
        <f>班线包车!AL53</f>
        <v>248.1032</v>
      </c>
      <c r="AM175" s="36">
        <f t="shared" si="151"/>
        <v>-0.0071539219715484</v>
      </c>
      <c r="AN175" s="35">
        <f>班线包车!AN53</f>
        <v>208.8209</v>
      </c>
      <c r="AO175" s="36">
        <f t="shared" si="152"/>
        <v>-0.0537509040124559</v>
      </c>
      <c r="AP175" s="35">
        <f>班线包车!AP53</f>
        <v>208.7586</v>
      </c>
      <c r="AQ175" s="36">
        <f t="shared" si="153"/>
        <v>-0.0843945147512769</v>
      </c>
      <c r="AR175" s="35">
        <f>班线包车!AR53</f>
        <v>205.6995</v>
      </c>
      <c r="AS175" s="36">
        <f t="shared" si="154"/>
        <v>-0.0940347526823374</v>
      </c>
      <c r="AT175" s="35">
        <f t="shared" si="155"/>
        <v>2397.7768</v>
      </c>
      <c r="AU175" s="36">
        <f t="shared" si="156"/>
        <v>-0.0436257727040462</v>
      </c>
      <c r="AV175" s="37"/>
      <c r="AW175" s="35">
        <v>246.9231</v>
      </c>
      <c r="AX175" s="36"/>
      <c r="AY175" s="35">
        <v>126.232</v>
      </c>
      <c r="AZ175" s="36"/>
      <c r="BA175" s="35">
        <v>134.7843</v>
      </c>
      <c r="BB175" s="36"/>
      <c r="BC175" s="35">
        <v>161.6837</v>
      </c>
      <c r="BD175" s="36"/>
      <c r="BE175" s="35">
        <v>187.8493</v>
      </c>
      <c r="BF175" s="36"/>
      <c r="BG175" s="35">
        <v>204.0684</v>
      </c>
      <c r="BH175" s="36"/>
      <c r="BI175" s="35">
        <v>261.7629</v>
      </c>
      <c r="BJ175" s="36"/>
      <c r="BK175" s="35">
        <v>258.2252</v>
      </c>
      <c r="BL175" s="36"/>
      <c r="BM175" s="35">
        <v>249.8909</v>
      </c>
      <c r="BN175" s="36"/>
      <c r="BO175" s="35">
        <v>220.6828</v>
      </c>
      <c r="BP175" s="36"/>
      <c r="BQ175" s="35">
        <v>228.0006</v>
      </c>
      <c r="BR175" s="36"/>
      <c r="BS175" s="35">
        <v>227.0501</v>
      </c>
      <c r="BT175" s="36"/>
      <c r="BU175" s="35">
        <f t="shared" si="157"/>
        <v>2507.1533</v>
      </c>
      <c r="BV175" s="36"/>
      <c r="BW175" s="40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7"/>
    </row>
    <row r="176" ht="28.8" customHeight="1" spans="1:88">
      <c r="A176" s="45"/>
      <c r="B176" s="34" t="s">
        <v>302</v>
      </c>
      <c r="C176" s="35">
        <f>公交!C66-公交!C68</f>
        <v>1764.63</v>
      </c>
      <c r="D176" s="36">
        <f t="shared" si="134"/>
        <v>-0.012833063880016</v>
      </c>
      <c r="E176" s="35">
        <f>公交!E66-公交!E68</f>
        <v>1782.03</v>
      </c>
      <c r="F176" s="36">
        <f t="shared" si="135"/>
        <v>0.0527487978071055</v>
      </c>
      <c r="G176" s="35">
        <f>公交!G66-公交!G68</f>
        <v>1628.76</v>
      </c>
      <c r="H176" s="36">
        <f t="shared" si="136"/>
        <v>0.0874131243198495</v>
      </c>
      <c r="I176" s="35">
        <f>公交!I66-公交!I68</f>
        <v>1622.53</v>
      </c>
      <c r="J176" s="36">
        <f t="shared" si="137"/>
        <v>-0.0677633053140818</v>
      </c>
      <c r="K176" s="35">
        <f>公交!K66-公交!K68</f>
        <v>1748.21</v>
      </c>
      <c r="L176" s="36">
        <f t="shared" si="138"/>
        <v>-0.0405837028581464</v>
      </c>
      <c r="M176" s="35">
        <f>公交!M66-公交!M68</f>
        <v>1838.57</v>
      </c>
      <c r="N176" s="36">
        <f t="shared" si="139"/>
        <v>-0.0914315646944293</v>
      </c>
      <c r="O176" s="35">
        <f>公交!O66-公交!O68</f>
        <v>1923.7</v>
      </c>
      <c r="P176" s="36">
        <f t="shared" si="140"/>
        <v>-0.100010760384941</v>
      </c>
      <c r="Q176" s="127"/>
      <c r="R176" s="127"/>
      <c r="S176" s="131">
        <f t="shared" si="141"/>
        <v>12308.43</v>
      </c>
      <c r="T176" s="132">
        <f t="shared" si="142"/>
        <v>-0.163680627937853</v>
      </c>
      <c r="U176" s="35"/>
      <c r="V176" s="35">
        <f>公交!V66-公交!V68</f>
        <v>1787.57</v>
      </c>
      <c r="W176" s="36">
        <f t="shared" si="143"/>
        <v>0.017167406395812</v>
      </c>
      <c r="X176" s="35">
        <f>公交!X66-公交!X68</f>
        <v>1692.74</v>
      </c>
      <c r="Y176" s="36">
        <f t="shared" si="144"/>
        <v>0.0549295774647889</v>
      </c>
      <c r="Z176" s="35">
        <f>公交!Z66-公交!Z68</f>
        <v>1497.83</v>
      </c>
      <c r="AA176" s="36">
        <f t="shared" si="145"/>
        <v>0.0593756188644015</v>
      </c>
      <c r="AB176" s="35">
        <f>公交!AB66-公交!AB68</f>
        <v>1740.47</v>
      </c>
      <c r="AC176" s="36">
        <f t="shared" si="146"/>
        <v>0.0562899036244022</v>
      </c>
      <c r="AD176" s="35">
        <f>公交!AD66-公交!AD68</f>
        <v>1822.16</v>
      </c>
      <c r="AE176" s="36">
        <f t="shared" si="147"/>
        <v>0.0377947374416221</v>
      </c>
      <c r="AF176" s="35">
        <f>公交!AF66-公交!AF68</f>
        <v>2023.59</v>
      </c>
      <c r="AG176" s="36">
        <f t="shared" si="148"/>
        <v>0.0302781907419098</v>
      </c>
      <c r="AH176" s="35">
        <f>公交!AH66-公交!AH68</f>
        <v>2137.47</v>
      </c>
      <c r="AI176" s="36">
        <f t="shared" si="149"/>
        <v>0.0422005734012054</v>
      </c>
      <c r="AJ176" s="35">
        <f>公交!AJ66-公交!AJ68</f>
        <v>2015.55</v>
      </c>
      <c r="AK176" s="36">
        <f t="shared" si="150"/>
        <v>0.0270527806936194</v>
      </c>
      <c r="AL176" s="35">
        <f>公交!AL66-公交!AL68</f>
        <v>1942.77</v>
      </c>
      <c r="AM176" s="36">
        <f t="shared" si="151"/>
        <v>0.0302864779440619</v>
      </c>
      <c r="AN176" s="35">
        <f>公交!AN66-公交!AN68</f>
        <v>2127.6</v>
      </c>
      <c r="AO176" s="36">
        <f t="shared" si="152"/>
        <v>0.0320540183941946</v>
      </c>
      <c r="AP176" s="35">
        <f>公交!AP66-公交!AP68</f>
        <v>1904.04</v>
      </c>
      <c r="AQ176" s="36">
        <f t="shared" si="153"/>
        <v>0.0372848115057747</v>
      </c>
      <c r="AR176" s="35">
        <f>公交!AR66-公交!AR68</f>
        <v>1892.98</v>
      </c>
      <c r="AS176" s="36">
        <f t="shared" si="154"/>
        <v>0.0310685534385655</v>
      </c>
      <c r="AT176" s="35">
        <f t="shared" si="155"/>
        <v>22584.77</v>
      </c>
      <c r="AU176" s="36">
        <f t="shared" si="156"/>
        <v>0.0371585286664629</v>
      </c>
      <c r="AV176" s="37"/>
      <c r="AW176" s="35">
        <v>1757.4</v>
      </c>
      <c r="AX176" s="36"/>
      <c r="AY176" s="35">
        <v>1604.6</v>
      </c>
      <c r="AZ176" s="36"/>
      <c r="BA176" s="35">
        <v>1413.88</v>
      </c>
      <c r="BB176" s="36"/>
      <c r="BC176" s="35">
        <v>1647.72</v>
      </c>
      <c r="BD176" s="36"/>
      <c r="BE176" s="35">
        <v>1755.8</v>
      </c>
      <c r="BF176" s="36"/>
      <c r="BG176" s="35">
        <v>1964.12</v>
      </c>
      <c r="BH176" s="36"/>
      <c r="BI176" s="35">
        <v>2050.92</v>
      </c>
      <c r="BJ176" s="36"/>
      <c r="BK176" s="35">
        <v>1962.46</v>
      </c>
      <c r="BL176" s="36"/>
      <c r="BM176" s="35">
        <v>1885.66</v>
      </c>
      <c r="BN176" s="36"/>
      <c r="BO176" s="35">
        <v>2061.52</v>
      </c>
      <c r="BP176" s="36"/>
      <c r="BQ176" s="35">
        <v>1835.6</v>
      </c>
      <c r="BR176" s="36"/>
      <c r="BS176" s="35">
        <v>1835.94</v>
      </c>
      <c r="BT176" s="36"/>
      <c r="BU176" s="35">
        <f t="shared" si="157"/>
        <v>21775.62</v>
      </c>
      <c r="BV176" s="36"/>
      <c r="BW176" s="40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7"/>
    </row>
    <row r="177" ht="28.8" customHeight="1" spans="1:88">
      <c r="A177" s="45"/>
      <c r="B177" s="34" t="s">
        <v>303</v>
      </c>
      <c r="C177" s="35">
        <f>出租!C66-出租!C68</f>
        <v>269.63</v>
      </c>
      <c r="D177" s="36">
        <f t="shared" si="134"/>
        <v>-0.322043700183551</v>
      </c>
      <c r="E177" s="35">
        <f>出租!E66-出租!E68</f>
        <v>265.17</v>
      </c>
      <c r="F177" s="36">
        <f t="shared" si="135"/>
        <v>-0.304709213907389</v>
      </c>
      <c r="G177" s="35">
        <f>出租!G66-出租!G68</f>
        <v>248.93</v>
      </c>
      <c r="H177" s="36">
        <f t="shared" si="136"/>
        <v>-0.312196065428824</v>
      </c>
      <c r="I177" s="35">
        <f>出租!I66-出租!I68</f>
        <v>248.16</v>
      </c>
      <c r="J177" s="36">
        <f t="shared" si="137"/>
        <v>-0.313223003265622</v>
      </c>
      <c r="K177" s="35">
        <f>出租!K66-出租!K68</f>
        <v>295.67</v>
      </c>
      <c r="L177" s="36">
        <f t="shared" si="138"/>
        <v>-0.327931081511115</v>
      </c>
      <c r="M177" s="35">
        <f>出租!M66-出租!M68</f>
        <v>247.99</v>
      </c>
      <c r="N177" s="36">
        <f t="shared" si="139"/>
        <v>-0.26732058971253</v>
      </c>
      <c r="O177" s="35">
        <f>出租!O66-出租!O68</f>
        <v>252.16</v>
      </c>
      <c r="P177" s="36">
        <f t="shared" si="140"/>
        <v>-0.281718224804877</v>
      </c>
      <c r="Q177" s="127"/>
      <c r="R177" s="127"/>
      <c r="S177" s="131">
        <f t="shared" si="141"/>
        <v>1827.71</v>
      </c>
      <c r="T177" s="132">
        <f t="shared" si="142"/>
        <v>-0.375199554229182</v>
      </c>
      <c r="U177" s="35"/>
      <c r="V177" s="35">
        <f>出租!V66-出租!V68</f>
        <v>397.71</v>
      </c>
      <c r="W177" s="36">
        <f t="shared" si="143"/>
        <v>0.0157323458051335</v>
      </c>
      <c r="X177" s="35">
        <f>出租!X66-出租!X68</f>
        <v>381.38</v>
      </c>
      <c r="Y177" s="36">
        <f t="shared" si="144"/>
        <v>-0.00754658061829905</v>
      </c>
      <c r="Z177" s="35">
        <f>出租!Z66-出租!Z68</f>
        <v>361.92</v>
      </c>
      <c r="AA177" s="36">
        <f t="shared" si="145"/>
        <v>0.0745524182773669</v>
      </c>
      <c r="AB177" s="35">
        <f>出租!AB66-出租!AB68</f>
        <v>361.34</v>
      </c>
      <c r="AC177" s="36">
        <f t="shared" si="146"/>
        <v>0.00263603318627048</v>
      </c>
      <c r="AD177" s="35">
        <f>出租!AD66-出租!AD68</f>
        <v>439.94</v>
      </c>
      <c r="AE177" s="36">
        <f t="shared" si="147"/>
        <v>-0.0331201512054679</v>
      </c>
      <c r="AF177" s="35">
        <f>出租!AF66-出租!AF68</f>
        <v>338.47</v>
      </c>
      <c r="AG177" s="36">
        <f t="shared" si="148"/>
        <v>-0.00179898549014967</v>
      </c>
      <c r="AH177" s="35">
        <f>出租!AH66-出租!AH68</f>
        <v>351.06</v>
      </c>
      <c r="AI177" s="36">
        <f t="shared" si="149"/>
        <v>0.000940894705328654</v>
      </c>
      <c r="AJ177" s="35">
        <f>出租!AJ66-出租!AJ68</f>
        <v>293.45</v>
      </c>
      <c r="AK177" s="36">
        <f t="shared" si="150"/>
        <v>-0.0621604346436559</v>
      </c>
      <c r="AL177" s="35">
        <f>出租!AL66-出租!AL68</f>
        <v>278.53</v>
      </c>
      <c r="AM177" s="36">
        <f t="shared" si="151"/>
        <v>-0.0981706329933626</v>
      </c>
      <c r="AN177" s="35">
        <f>出租!AN66-出租!AN68</f>
        <v>311.47</v>
      </c>
      <c r="AO177" s="36">
        <f t="shared" si="152"/>
        <v>-0.151723950106215</v>
      </c>
      <c r="AP177" s="35">
        <f>出租!AP66-出租!AP68</f>
        <v>284.55</v>
      </c>
      <c r="AQ177" s="36">
        <f t="shared" si="153"/>
        <v>-0.125699010631107</v>
      </c>
      <c r="AR177" s="35">
        <f>出租!AR66-出租!AR68</f>
        <v>277.13</v>
      </c>
      <c r="AS177" s="36">
        <f t="shared" si="154"/>
        <v>-0.150403139274656</v>
      </c>
      <c r="AT177" s="35">
        <f t="shared" si="155"/>
        <v>4076.95</v>
      </c>
      <c r="AU177" s="36">
        <f t="shared" si="156"/>
        <v>-0.0426166451015982</v>
      </c>
      <c r="AV177" s="37"/>
      <c r="AW177" s="35">
        <v>391.55</v>
      </c>
      <c r="AX177" s="36"/>
      <c r="AY177" s="35">
        <v>384.28</v>
      </c>
      <c r="AZ177" s="36"/>
      <c r="BA177" s="35">
        <v>336.81</v>
      </c>
      <c r="BB177" s="36"/>
      <c r="BC177" s="35">
        <v>360.39</v>
      </c>
      <c r="BD177" s="36"/>
      <c r="BE177" s="35">
        <v>455.01</v>
      </c>
      <c r="BF177" s="36"/>
      <c r="BG177" s="35">
        <v>339.08</v>
      </c>
      <c r="BH177" s="36"/>
      <c r="BI177" s="35">
        <v>350.73</v>
      </c>
      <c r="BJ177" s="36"/>
      <c r="BK177" s="35">
        <v>312.9</v>
      </c>
      <c r="BL177" s="36"/>
      <c r="BM177" s="35">
        <v>308.85</v>
      </c>
      <c r="BN177" s="36"/>
      <c r="BO177" s="35">
        <v>367.18</v>
      </c>
      <c r="BP177" s="36"/>
      <c r="BQ177" s="35">
        <v>325.46</v>
      </c>
      <c r="BR177" s="36"/>
      <c r="BS177" s="35">
        <v>326.19</v>
      </c>
      <c r="BT177" s="36"/>
      <c r="BU177" s="35">
        <f t="shared" si="157"/>
        <v>4258.43</v>
      </c>
      <c r="BV177" s="36"/>
      <c r="BW177" s="40"/>
      <c r="BX177" s="49"/>
      <c r="BY177" s="49"/>
      <c r="BZ177" s="49"/>
      <c r="CA177" s="49"/>
      <c r="CB177" s="49"/>
      <c r="CC177" s="49"/>
      <c r="CD177" s="50"/>
      <c r="CE177" s="49"/>
      <c r="CF177" s="50"/>
      <c r="CG177" s="50"/>
      <c r="CH177" s="50"/>
      <c r="CI177" s="50"/>
      <c r="CJ177" s="47"/>
    </row>
    <row r="178" ht="28.8" customHeight="1" spans="1:88">
      <c r="A178" s="29"/>
      <c r="B178" s="34" t="s">
        <v>304</v>
      </c>
      <c r="C178" s="35">
        <f>网约车!C66-网约车!C68</f>
        <v>120.339867888986</v>
      </c>
      <c r="D178" s="36">
        <f t="shared" si="134"/>
        <v>3.1484459369738</v>
      </c>
      <c r="E178" s="35">
        <f>网约车!E66-网约车!E68</f>
        <v>123.040937954168</v>
      </c>
      <c r="F178" s="36">
        <f t="shared" si="135"/>
        <v>2.77477494031505</v>
      </c>
      <c r="G178" s="35">
        <f>网约车!G66-网约车!G68</f>
        <v>113.549281585179</v>
      </c>
      <c r="H178" s="36">
        <f t="shared" si="136"/>
        <v>0.708380004056989</v>
      </c>
      <c r="I178" s="35">
        <f>网约车!I66-网约车!I68</f>
        <v>115.130716317966</v>
      </c>
      <c r="J178" s="36">
        <f t="shared" si="137"/>
        <v>1.73680498381451</v>
      </c>
      <c r="K178" s="35">
        <f>网约车!K66-网约车!K68</f>
        <v>125.77502205633</v>
      </c>
      <c r="L178" s="36">
        <f t="shared" si="138"/>
        <v>1.37712934407652</v>
      </c>
      <c r="M178" s="35">
        <f>网约车!M66-网约车!M68</f>
        <v>118.504993345653</v>
      </c>
      <c r="N178" s="36">
        <f t="shared" si="139"/>
        <v>1.05954359597133</v>
      </c>
      <c r="O178" s="35">
        <f>网约车!O66-网约车!O68</f>
        <v>125.696706585626</v>
      </c>
      <c r="P178" s="36">
        <f t="shared" si="140"/>
        <v>0.917477058209504</v>
      </c>
      <c r="Q178" s="127"/>
      <c r="R178" s="127"/>
      <c r="S178" s="131">
        <f t="shared" si="141"/>
        <v>842.037525733909</v>
      </c>
      <c r="T178" s="132">
        <f t="shared" si="142"/>
        <v>1.08322911962691</v>
      </c>
      <c r="U178" s="35"/>
      <c r="V178" s="35">
        <f>网约车!V66-网约车!V68</f>
        <v>29.0084213985855</v>
      </c>
      <c r="W178" s="36">
        <f t="shared" si="143"/>
        <v>-0.618926773414375</v>
      </c>
      <c r="X178" s="35">
        <f>网约车!X66-网约车!X68</f>
        <v>32.5955692457519</v>
      </c>
      <c r="Y178" s="36">
        <f t="shared" si="144"/>
        <v>-0.311035900486188</v>
      </c>
      <c r="Z178" s="35">
        <f>网约车!Z66-网约车!Z68</f>
        <v>66.4660563314528</v>
      </c>
      <c r="AA178" s="36">
        <f t="shared" si="145"/>
        <v>0.0428009910905816</v>
      </c>
      <c r="AB178" s="35">
        <f>网约车!AB66-网约车!AB68</f>
        <v>42.0675630886564</v>
      </c>
      <c r="AC178" s="36">
        <f t="shared" si="146"/>
        <v>-0.44904945653726</v>
      </c>
      <c r="AD178" s="35">
        <f>网约车!AD66-网约车!AD68</f>
        <v>52.9104663024518</v>
      </c>
      <c r="AE178" s="36">
        <f t="shared" si="147"/>
        <v>-0.385888109559261</v>
      </c>
      <c r="AF178" s="35">
        <f>网约车!AF66-网约车!AF68</f>
        <v>57.5394439707228</v>
      </c>
      <c r="AG178" s="36">
        <f t="shared" si="148"/>
        <v>-0.705115814407173</v>
      </c>
      <c r="AH178" s="35">
        <f>网约车!AH66-网约车!AH68</f>
        <v>65.5531736598709</v>
      </c>
      <c r="AI178" s="36">
        <f t="shared" si="149"/>
        <v>-0.440866517512851</v>
      </c>
      <c r="AJ178" s="35">
        <f>网约车!AJ66-网约车!AJ68</f>
        <v>58.05753739278</v>
      </c>
      <c r="AK178" s="36">
        <f t="shared" si="150"/>
        <v>-0.746078137652362</v>
      </c>
      <c r="AL178" s="35">
        <f>网约车!AL66-网约车!AL68</f>
        <v>53.5748038787238</v>
      </c>
      <c r="AM178" s="36">
        <f t="shared" si="151"/>
        <v>-0.529050904692959</v>
      </c>
      <c r="AN178" s="35">
        <f>网约车!AN66-网约车!AN68</f>
        <v>74.2841744475918</v>
      </c>
      <c r="AO178" s="36">
        <f t="shared" si="152"/>
        <v>-0.375589097208056</v>
      </c>
      <c r="AP178" s="35">
        <f>网约车!AP66-网约车!AP68</f>
        <v>81.7401365413167</v>
      </c>
      <c r="AQ178" s="36">
        <f t="shared" si="153"/>
        <v>-0.191058409902884</v>
      </c>
      <c r="AR178" s="35">
        <f>网约车!AR66-网约车!AR68</f>
        <v>124.358256589824</v>
      </c>
      <c r="AS178" s="36">
        <f t="shared" si="154"/>
        <v>0.148781348123488</v>
      </c>
      <c r="AT178" s="35">
        <f t="shared" si="155"/>
        <v>738.155602847728</v>
      </c>
      <c r="AU178" s="36">
        <f t="shared" si="156"/>
        <v>-0.446127623457071</v>
      </c>
      <c r="AV178" s="37"/>
      <c r="AW178" s="35">
        <v>76.1229584625974</v>
      </c>
      <c r="AX178" s="36"/>
      <c r="AY178" s="35">
        <v>47.310983647412</v>
      </c>
      <c r="AZ178" s="36"/>
      <c r="BA178" s="35">
        <v>63.7380064838079</v>
      </c>
      <c r="BB178" s="36"/>
      <c r="BC178" s="35">
        <v>76.3545178198039</v>
      </c>
      <c r="BD178" s="36"/>
      <c r="BE178" s="35">
        <v>86.1576971982724</v>
      </c>
      <c r="BF178" s="36"/>
      <c r="BG178" s="35">
        <v>195.125567195294</v>
      </c>
      <c r="BH178" s="36"/>
      <c r="BI178" s="35">
        <v>117.240651316884</v>
      </c>
      <c r="BJ178" s="36"/>
      <c r="BK178" s="35">
        <v>228.643319074649</v>
      </c>
      <c r="BL178" s="36"/>
      <c r="BM178" s="35">
        <v>113.75922453741</v>
      </c>
      <c r="BN178" s="36"/>
      <c r="BO178" s="35">
        <v>118.966811942974</v>
      </c>
      <c r="BP178" s="36"/>
      <c r="BQ178" s="35">
        <v>101.04578320853</v>
      </c>
      <c r="BR178" s="36"/>
      <c r="BS178" s="35">
        <v>108.252329125086</v>
      </c>
      <c r="BT178" s="36"/>
      <c r="BU178" s="35">
        <f t="shared" si="157"/>
        <v>1332.71785001272</v>
      </c>
      <c r="BV178" s="36"/>
      <c r="BW178" s="40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7"/>
    </row>
    <row r="179" s="15" customFormat="1" ht="28.8" customHeight="1" spans="1:88">
      <c r="A179" s="48" t="s">
        <v>110</v>
      </c>
      <c r="B179" s="34" t="s">
        <v>300</v>
      </c>
      <c r="C179" s="35">
        <f>C180+C181+C182+C183</f>
        <v>2087.4202000282</v>
      </c>
      <c r="D179" s="36">
        <f t="shared" si="134"/>
        <v>-0.210646333529773</v>
      </c>
      <c r="E179" s="35">
        <f>E180+E181+E182+E183</f>
        <v>3033.26309145909</v>
      </c>
      <c r="F179" s="36">
        <f t="shared" si="135"/>
        <v>0.047432504461296</v>
      </c>
      <c r="G179" s="35">
        <f>G180+G181+G182+G183</f>
        <v>2800.38727432439</v>
      </c>
      <c r="H179" s="36">
        <f t="shared" si="136"/>
        <v>0.221397982886687</v>
      </c>
      <c r="I179" s="35">
        <f>I180+I181+I182+I183</f>
        <v>3622.55713200354</v>
      </c>
      <c r="J179" s="36">
        <f t="shared" si="137"/>
        <v>0.536247486563593</v>
      </c>
      <c r="K179" s="35">
        <f>K180+K181+K182+K183</f>
        <v>3336.85933128298</v>
      </c>
      <c r="L179" s="36">
        <f t="shared" si="138"/>
        <v>0.491212840959113</v>
      </c>
      <c r="M179" s="35">
        <f>M180+M181+M182+M183</f>
        <v>3755.99072471309</v>
      </c>
      <c r="N179" s="36">
        <f t="shared" si="139"/>
        <v>0.876286683146541</v>
      </c>
      <c r="O179" s="35">
        <f>O180+O181+O182+O183</f>
        <v>3175.13710000367</v>
      </c>
      <c r="P179" s="36">
        <f t="shared" si="140"/>
        <v>0.296571321971043</v>
      </c>
      <c r="Q179" s="127"/>
      <c r="R179" s="127"/>
      <c r="S179" s="131">
        <f t="shared" si="141"/>
        <v>21811.614853815</v>
      </c>
      <c r="T179" s="132">
        <f t="shared" si="142"/>
        <v>0.13742665607011</v>
      </c>
      <c r="U179" s="35"/>
      <c r="V179" s="35">
        <f>V180+V181+V182+V183</f>
        <v>2644.46760520233</v>
      </c>
      <c r="W179" s="36">
        <f t="shared" si="143"/>
        <v>-0.0483556722503988</v>
      </c>
      <c r="X179" s="35">
        <f>X180+X181+X182+X183</f>
        <v>2895.90315226958</v>
      </c>
      <c r="Y179" s="36">
        <f t="shared" si="144"/>
        <v>-0.0206471475684797</v>
      </c>
      <c r="Z179" s="35">
        <f>Z180+Z181+Z182+Z183</f>
        <v>2292.77214598462</v>
      </c>
      <c r="AA179" s="36">
        <f t="shared" si="145"/>
        <v>-0.0968743459597343</v>
      </c>
      <c r="AB179" s="35">
        <f>AB180+AB181+AB182+AB183</f>
        <v>2358.05569329638</v>
      </c>
      <c r="AC179" s="36">
        <f t="shared" si="146"/>
        <v>0.0345668431187103</v>
      </c>
      <c r="AD179" s="35">
        <f>AD180+AD181+AD182+AD183</f>
        <v>2237.68146278622</v>
      </c>
      <c r="AE179" s="36">
        <f t="shared" si="147"/>
        <v>-0.0976395064459512</v>
      </c>
      <c r="AF179" s="35">
        <f>AF180+AF181+AF182+AF183</f>
        <v>2001.82134129646</v>
      </c>
      <c r="AG179" s="36">
        <f t="shared" si="148"/>
        <v>-0.161503992267162</v>
      </c>
      <c r="AH179" s="35">
        <f>AH180+AH181+AH182+AH183</f>
        <v>2448.87191795731</v>
      </c>
      <c r="AI179" s="36">
        <f t="shared" si="149"/>
        <v>0.0942400394938643</v>
      </c>
      <c r="AJ179" s="35">
        <f>AJ180+AJ181+AJ182+AJ183</f>
        <v>2296.70915833459</v>
      </c>
      <c r="AK179" s="36">
        <f t="shared" si="150"/>
        <v>-0.0647667291429042</v>
      </c>
      <c r="AL179" s="35">
        <f>AL180+AL181+AL182+AL183</f>
        <v>2010.88841935746</v>
      </c>
      <c r="AM179" s="36">
        <f t="shared" si="151"/>
        <v>-0.121940673147023</v>
      </c>
      <c r="AN179" s="35">
        <f>AN180+AN181+AN182+AN183</f>
        <v>2331.51005852275</v>
      </c>
      <c r="AO179" s="36">
        <f t="shared" si="152"/>
        <v>-0.0312738654212656</v>
      </c>
      <c r="AP179" s="35">
        <f>AP180+AP181+AP182+AP183</f>
        <v>1937.41894071725</v>
      </c>
      <c r="AQ179" s="36">
        <f t="shared" si="153"/>
        <v>-0.153570715605696</v>
      </c>
      <c r="AR179" s="35">
        <f>AR180+AR181+AR182+AR183</f>
        <v>1830.04942007675</v>
      </c>
      <c r="AS179" s="36">
        <f t="shared" si="154"/>
        <v>-0.0730855292164234</v>
      </c>
      <c r="AT179" s="35">
        <f t="shared" si="155"/>
        <v>27286.1493158017</v>
      </c>
      <c r="AU179" s="36">
        <f t="shared" si="156"/>
        <v>-0.0615225109053108</v>
      </c>
      <c r="AV179" s="37"/>
      <c r="AW179" s="38">
        <f>AW180+AW181+AW182+AW183</f>
        <v>2778.84029578133</v>
      </c>
      <c r="AX179" s="37"/>
      <c r="AY179" s="38">
        <f>AY180+AY181+AY182+AY183</f>
        <v>2956.95585618573</v>
      </c>
      <c r="AZ179" s="37"/>
      <c r="BA179" s="38">
        <f>BA180+BA181+BA182+BA183</f>
        <v>2538.70780408857</v>
      </c>
      <c r="BB179" s="37"/>
      <c r="BC179" s="38">
        <f>BC180+BC181+BC182+BC183</f>
        <v>2279.26857407106</v>
      </c>
      <c r="BD179" s="37"/>
      <c r="BE179" s="38">
        <f>BE180+BE181+BE182+BE183</f>
        <v>2479.80876686307</v>
      </c>
      <c r="BF179" s="37"/>
      <c r="BG179" s="38">
        <f>BG180+BG181+BG182+BG183</f>
        <v>2387.39519667967</v>
      </c>
      <c r="BH179" s="37"/>
      <c r="BI179" s="38">
        <f>BI180+BI181+BI182+BI183</f>
        <v>2237.96592116116</v>
      </c>
      <c r="BJ179" s="37"/>
      <c r="BK179" s="38">
        <f>BK180+BK181+BK182+BK183</f>
        <v>2455.76074964674</v>
      </c>
      <c r="BL179" s="37"/>
      <c r="BM179" s="38">
        <f>BM180+BM181+BM182+BM183</f>
        <v>2290.15097028195</v>
      </c>
      <c r="BN179" s="37"/>
      <c r="BO179" s="38">
        <f>BO180+BO181+BO182+BO183</f>
        <v>2406.77935207832</v>
      </c>
      <c r="BP179" s="37"/>
      <c r="BQ179" s="38">
        <f>BQ180+BQ181+BQ182+BQ183</f>
        <v>2288.93184160523</v>
      </c>
      <c r="BR179" s="37"/>
      <c r="BS179" s="38">
        <f>BS180+BS181+BS182+BS183</f>
        <v>1974.34550625766</v>
      </c>
      <c r="BT179" s="37"/>
      <c r="BU179" s="38">
        <f t="shared" si="157"/>
        <v>29074.9108347005</v>
      </c>
      <c r="BV179" s="37"/>
      <c r="BW179" s="39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</row>
    <row r="180" ht="28.8" customHeight="1" spans="1:88">
      <c r="A180" s="45"/>
      <c r="B180" s="34" t="s">
        <v>301</v>
      </c>
      <c r="C180" s="35">
        <f>班线包车!C55</f>
        <v>524.6797</v>
      </c>
      <c r="D180" s="36">
        <f t="shared" si="134"/>
        <v>-0.434860554228612</v>
      </c>
      <c r="E180" s="35">
        <f>班线包车!E55</f>
        <v>1354.6626</v>
      </c>
      <c r="F180" s="36">
        <f t="shared" si="135"/>
        <v>0.193998307185015</v>
      </c>
      <c r="G180" s="35">
        <f>班线包车!G55</f>
        <v>1233.6733</v>
      </c>
      <c r="H180" s="36">
        <f t="shared" si="136"/>
        <v>0.865993027142717</v>
      </c>
      <c r="I180" s="35">
        <f>班线包车!I55</f>
        <v>2058.7247</v>
      </c>
      <c r="J180" s="36">
        <f t="shared" si="137"/>
        <v>1.63039569942426</v>
      </c>
      <c r="K180" s="35">
        <f>班线包车!K55</f>
        <v>1725.1329</v>
      </c>
      <c r="L180" s="36">
        <f t="shared" si="138"/>
        <v>1.89992011965914</v>
      </c>
      <c r="M180" s="35">
        <f>班线包车!M55</f>
        <v>2213.7637</v>
      </c>
      <c r="N180" s="36">
        <f t="shared" si="139"/>
        <v>3.43518874503818</v>
      </c>
      <c r="O180" s="35">
        <f>班线包车!O55</f>
        <v>1713.2135</v>
      </c>
      <c r="P180" s="36">
        <f t="shared" si="140"/>
        <v>0.752364297423752</v>
      </c>
      <c r="Q180" s="127"/>
      <c r="R180" s="127"/>
      <c r="S180" s="131">
        <f t="shared" si="141"/>
        <v>10823.8504</v>
      </c>
      <c r="T180" s="132">
        <f t="shared" si="142"/>
        <v>0.647211536995309</v>
      </c>
      <c r="U180" s="35"/>
      <c r="V180" s="35">
        <f>班线包车!V55</f>
        <v>928.4075</v>
      </c>
      <c r="W180" s="36">
        <f t="shared" si="143"/>
        <v>-0.0713066481863117</v>
      </c>
      <c r="X180" s="35">
        <f>班线包车!X55</f>
        <v>1134.5599</v>
      </c>
      <c r="Y180" s="36">
        <f t="shared" si="144"/>
        <v>-0.0409242111458081</v>
      </c>
      <c r="Z180" s="35">
        <f>班线包车!Z55</f>
        <v>661.135</v>
      </c>
      <c r="AA180" s="36">
        <f t="shared" si="145"/>
        <v>-0.310430102580999</v>
      </c>
      <c r="AB180" s="35">
        <f>班线包车!AB55</f>
        <v>782.6673</v>
      </c>
      <c r="AC180" s="36">
        <f t="shared" si="146"/>
        <v>0.00708760921669715</v>
      </c>
      <c r="AD180" s="35">
        <f>班线包车!AD55</f>
        <v>594.8898</v>
      </c>
      <c r="AE180" s="36">
        <f t="shared" si="147"/>
        <v>-0.356617843481007</v>
      </c>
      <c r="AF180" s="35">
        <f>班线包车!AF55</f>
        <v>499.1363</v>
      </c>
      <c r="AG180" s="36">
        <f t="shared" si="148"/>
        <v>-0.327780846904906</v>
      </c>
      <c r="AH180" s="35">
        <f>班线包车!AH55</f>
        <v>977.6583</v>
      </c>
      <c r="AI180" s="36">
        <f t="shared" si="149"/>
        <v>0.457234665628856</v>
      </c>
      <c r="AJ180" s="35">
        <f>班线包车!AJ55</f>
        <v>992.5601</v>
      </c>
      <c r="AK180" s="36">
        <f t="shared" si="150"/>
        <v>0.230806746520624</v>
      </c>
      <c r="AL180" s="35">
        <f>班线包车!AL55</f>
        <v>754.3291</v>
      </c>
      <c r="AM180" s="36">
        <f t="shared" si="151"/>
        <v>0.016229952528817</v>
      </c>
      <c r="AN180" s="35">
        <f>班线包车!AN55</f>
        <v>935.997</v>
      </c>
      <c r="AO180" s="36">
        <f t="shared" si="152"/>
        <v>0.222328407264415</v>
      </c>
      <c r="AP180" s="35">
        <f>班线包车!AP55</f>
        <v>601.1448</v>
      </c>
      <c r="AQ180" s="36">
        <f t="shared" si="153"/>
        <v>-0.184615543208222</v>
      </c>
      <c r="AR180" s="35">
        <f>班线包车!AR55</f>
        <v>420.0929</v>
      </c>
      <c r="AS180" s="36">
        <f t="shared" si="154"/>
        <v>0.0282324456509635</v>
      </c>
      <c r="AT180" s="35">
        <f t="shared" si="155"/>
        <v>9282.578</v>
      </c>
      <c r="AU180" s="36">
        <f t="shared" si="156"/>
        <v>-0.0446985423771099</v>
      </c>
      <c r="AV180" s="37"/>
      <c r="AW180" s="35">
        <v>999.6922</v>
      </c>
      <c r="AX180" s="36"/>
      <c r="AY180" s="35">
        <v>1182.9721</v>
      </c>
      <c r="AZ180" s="36"/>
      <c r="BA180" s="35">
        <v>958.7643</v>
      </c>
      <c r="BB180" s="36"/>
      <c r="BC180" s="35">
        <v>777.1591</v>
      </c>
      <c r="BD180" s="36"/>
      <c r="BE180" s="35">
        <v>924.629</v>
      </c>
      <c r="BF180" s="36"/>
      <c r="BG180" s="35">
        <v>742.5202</v>
      </c>
      <c r="BH180" s="36"/>
      <c r="BI180" s="35">
        <v>670.8997</v>
      </c>
      <c r="BJ180" s="36"/>
      <c r="BK180" s="35">
        <v>806.4305</v>
      </c>
      <c r="BL180" s="36"/>
      <c r="BM180" s="35">
        <v>742.2819</v>
      </c>
      <c r="BN180" s="36"/>
      <c r="BO180" s="35">
        <v>765.7492</v>
      </c>
      <c r="BP180" s="36"/>
      <c r="BQ180" s="35">
        <v>737.2532</v>
      </c>
      <c r="BR180" s="36"/>
      <c r="BS180" s="35">
        <v>408.5583</v>
      </c>
      <c r="BT180" s="36"/>
      <c r="BU180" s="35">
        <f t="shared" si="157"/>
        <v>9716.9097</v>
      </c>
      <c r="BV180" s="36"/>
      <c r="BW180" s="40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7"/>
    </row>
    <row r="181" ht="28.8" customHeight="1" spans="1:88">
      <c r="A181" s="45"/>
      <c r="B181" s="34" t="s">
        <v>302</v>
      </c>
      <c r="C181" s="35">
        <f>公交!C70-公交!C72</f>
        <v>1204.45</v>
      </c>
      <c r="D181" s="36">
        <f t="shared" si="134"/>
        <v>-0.196234926693849</v>
      </c>
      <c r="E181" s="35">
        <f>公交!E70-公交!E72</f>
        <v>1327.61</v>
      </c>
      <c r="F181" s="36">
        <f t="shared" si="135"/>
        <v>-0.140265896477811</v>
      </c>
      <c r="G181" s="35">
        <f>公交!G70-公交!G72</f>
        <v>1232.6</v>
      </c>
      <c r="H181" s="36">
        <f t="shared" si="136"/>
        <v>-0.112963002943357</v>
      </c>
      <c r="I181" s="35">
        <f>公交!I70-公交!I72</f>
        <v>1234.04</v>
      </c>
      <c r="J181" s="36">
        <f t="shared" si="137"/>
        <v>-0.0880916312580824</v>
      </c>
      <c r="K181" s="35">
        <f>公交!K70-公交!K72</f>
        <v>1265.04</v>
      </c>
      <c r="L181" s="36">
        <f t="shared" si="138"/>
        <v>-0.100243246703367</v>
      </c>
      <c r="M181" s="35">
        <f>公交!M70-公交!M72</f>
        <v>1226.04</v>
      </c>
      <c r="N181" s="36">
        <f t="shared" si="139"/>
        <v>-0.0390632347869707</v>
      </c>
      <c r="O181" s="35">
        <f>公交!O70-公交!O72</f>
        <v>1134.19</v>
      </c>
      <c r="P181" s="36">
        <f t="shared" si="140"/>
        <v>-0.0820363400914573</v>
      </c>
      <c r="Q181" s="127"/>
      <c r="R181" s="127"/>
      <c r="S181" s="131">
        <f t="shared" si="141"/>
        <v>8623.97</v>
      </c>
      <c r="T181" s="132">
        <f t="shared" si="142"/>
        <v>-0.199324659939262</v>
      </c>
      <c r="U181" s="35"/>
      <c r="V181" s="35">
        <f>公交!V70-公交!V72</f>
        <v>1498.51</v>
      </c>
      <c r="W181" s="36">
        <f t="shared" si="143"/>
        <v>0.011065305544123</v>
      </c>
      <c r="X181" s="35">
        <f>公交!X70-公交!X72</f>
        <v>1544.21</v>
      </c>
      <c r="Y181" s="36">
        <f t="shared" si="144"/>
        <v>0.024351575456053</v>
      </c>
      <c r="Z181" s="35">
        <f>公交!Z70-公交!Z72</f>
        <v>1389.57</v>
      </c>
      <c r="AA181" s="36">
        <f t="shared" si="145"/>
        <v>0.0603114770360085</v>
      </c>
      <c r="AB181" s="35">
        <f>公交!AB70-公交!AB72</f>
        <v>1353.25</v>
      </c>
      <c r="AC181" s="36">
        <f t="shared" si="146"/>
        <v>0.100230086912689</v>
      </c>
      <c r="AD181" s="35">
        <f>公交!AD70-公交!AD72</f>
        <v>1405.98</v>
      </c>
      <c r="AE181" s="36">
        <f t="shared" si="147"/>
        <v>0.105139048277814</v>
      </c>
      <c r="AF181" s="35">
        <f>公交!AF70-公交!AF72</f>
        <v>1275.88</v>
      </c>
      <c r="AG181" s="36">
        <f t="shared" si="148"/>
        <v>-0.00904833285438</v>
      </c>
      <c r="AH181" s="35">
        <f>公交!AH70-公交!AH72</f>
        <v>1235.55</v>
      </c>
      <c r="AI181" s="36">
        <f t="shared" si="149"/>
        <v>-0.0309867770928425</v>
      </c>
      <c r="AJ181" s="35">
        <f>公交!AJ70-公交!AJ72</f>
        <v>1067.92</v>
      </c>
      <c r="AK181" s="36">
        <f t="shared" si="150"/>
        <v>-0.148972793777792</v>
      </c>
      <c r="AL181" s="35">
        <f>公交!AL70-公交!AL72</f>
        <v>1029.09</v>
      </c>
      <c r="AM181" s="36">
        <f t="shared" si="151"/>
        <v>-0.191907214875773</v>
      </c>
      <c r="AN181" s="35">
        <f>公交!AN70-公交!AN72</f>
        <v>1134.22</v>
      </c>
      <c r="AO181" s="36">
        <f t="shared" si="152"/>
        <v>-0.158147095280155</v>
      </c>
      <c r="AP181" s="35">
        <f>公交!AP70-公交!AP72</f>
        <v>1068.77</v>
      </c>
      <c r="AQ181" s="36">
        <f t="shared" si="153"/>
        <v>-0.162300915475295</v>
      </c>
      <c r="AR181" s="35">
        <f>公交!AR70-公交!AR72</f>
        <v>1105.04</v>
      </c>
      <c r="AS181" s="36">
        <f t="shared" si="154"/>
        <v>-0.147707377270448</v>
      </c>
      <c r="AT181" s="35">
        <f t="shared" si="155"/>
        <v>15107.99</v>
      </c>
      <c r="AU181" s="36">
        <f t="shared" si="156"/>
        <v>-0.044580577678787</v>
      </c>
      <c r="AV181" s="37"/>
      <c r="AW181" s="35">
        <v>1482.11</v>
      </c>
      <c r="AX181" s="36"/>
      <c r="AY181" s="35">
        <v>1507.5</v>
      </c>
      <c r="AZ181" s="36"/>
      <c r="BA181" s="35">
        <v>1310.53</v>
      </c>
      <c r="BB181" s="36"/>
      <c r="BC181" s="35">
        <v>1229.97</v>
      </c>
      <c r="BD181" s="36"/>
      <c r="BE181" s="35">
        <v>1272.22</v>
      </c>
      <c r="BF181" s="36"/>
      <c r="BG181" s="35">
        <v>1287.53</v>
      </c>
      <c r="BH181" s="36"/>
      <c r="BI181" s="35">
        <v>1275.06</v>
      </c>
      <c r="BJ181" s="36"/>
      <c r="BK181" s="35">
        <v>1254.86</v>
      </c>
      <c r="BL181" s="36"/>
      <c r="BM181" s="35">
        <v>1273.48</v>
      </c>
      <c r="BN181" s="36"/>
      <c r="BO181" s="35">
        <v>1347.29</v>
      </c>
      <c r="BP181" s="36"/>
      <c r="BQ181" s="35">
        <v>1275.84</v>
      </c>
      <c r="BR181" s="36"/>
      <c r="BS181" s="35">
        <v>1296.55</v>
      </c>
      <c r="BT181" s="36"/>
      <c r="BU181" s="35">
        <f t="shared" si="157"/>
        <v>15812.94</v>
      </c>
      <c r="BV181" s="36"/>
      <c r="BW181" s="40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7"/>
    </row>
    <row r="182" ht="28.8" customHeight="1" spans="1:88">
      <c r="A182" s="45"/>
      <c r="B182" s="34" t="s">
        <v>303</v>
      </c>
      <c r="C182" s="35">
        <f>出租!C70-出租!C72</f>
        <v>197.34</v>
      </c>
      <c r="D182" s="36">
        <f t="shared" si="134"/>
        <v>-0.0138423866873221</v>
      </c>
      <c r="E182" s="35">
        <f>出租!E70-出租!E72</f>
        <v>203.92</v>
      </c>
      <c r="F182" s="36">
        <f t="shared" si="135"/>
        <v>0.0415772806211052</v>
      </c>
      <c r="G182" s="35">
        <f>出租!G70-出租!G72</f>
        <v>192.94</v>
      </c>
      <c r="H182" s="36">
        <f t="shared" si="136"/>
        <v>-0.0178171451842803</v>
      </c>
      <c r="I182" s="35">
        <f>出租!I70-出租!I72</f>
        <v>190.66</v>
      </c>
      <c r="J182" s="36">
        <f t="shared" si="137"/>
        <v>-0.0113047085666876</v>
      </c>
      <c r="K182" s="35">
        <f>出租!K70-出租!K72</f>
        <v>196.6</v>
      </c>
      <c r="L182" s="36">
        <f t="shared" si="138"/>
        <v>-0.0145363408521304</v>
      </c>
      <c r="M182" s="35">
        <f>出租!M70-出租!M72</f>
        <v>164.88</v>
      </c>
      <c r="N182" s="36">
        <f t="shared" si="139"/>
        <v>-0.10995951417004</v>
      </c>
      <c r="O182" s="35">
        <f>出租!O70-出租!O72</f>
        <v>164.66</v>
      </c>
      <c r="P182" s="36">
        <f t="shared" si="140"/>
        <v>-0.110042157604583</v>
      </c>
      <c r="Q182" s="127"/>
      <c r="R182" s="127"/>
      <c r="S182" s="131">
        <f t="shared" si="141"/>
        <v>1311</v>
      </c>
      <c r="T182" s="132">
        <f t="shared" si="142"/>
        <v>-0.147932224540332</v>
      </c>
      <c r="U182" s="35"/>
      <c r="V182" s="35">
        <f>出租!V70-出租!V72</f>
        <v>200.11</v>
      </c>
      <c r="W182" s="36">
        <f t="shared" si="143"/>
        <v>0.0022036359993991</v>
      </c>
      <c r="X182" s="35">
        <f>出租!X70-出租!X72</f>
        <v>195.78</v>
      </c>
      <c r="Y182" s="36">
        <f t="shared" si="144"/>
        <v>-0.11174629100313</v>
      </c>
      <c r="Z182" s="35">
        <f>出租!Z70-出租!Z72</f>
        <v>196.44</v>
      </c>
      <c r="AA182" s="36">
        <f t="shared" si="145"/>
        <v>-0.0138554216867469</v>
      </c>
      <c r="AB182" s="35">
        <f>出租!AB70-出租!AB72</f>
        <v>192.84</v>
      </c>
      <c r="AC182" s="36">
        <f t="shared" si="146"/>
        <v>-0.00868760602477747</v>
      </c>
      <c r="AD182" s="35">
        <f>出租!AD70-出租!AD72</f>
        <v>199.5</v>
      </c>
      <c r="AE182" s="36">
        <f t="shared" si="147"/>
        <v>-0.00766016713091922</v>
      </c>
      <c r="AF182" s="35">
        <f>出租!AF70-出租!AF72</f>
        <v>185.25</v>
      </c>
      <c r="AG182" s="36">
        <f t="shared" si="148"/>
        <v>0.00909685150887896</v>
      </c>
      <c r="AH182" s="35">
        <f>出租!AH70-出租!AH72</f>
        <v>185.02</v>
      </c>
      <c r="AI182" s="36">
        <f t="shared" si="149"/>
        <v>-0.00124156545209175</v>
      </c>
      <c r="AJ182" s="35">
        <f>出租!AJ70-出租!AJ72</f>
        <v>183.67</v>
      </c>
      <c r="AK182" s="36">
        <f t="shared" si="150"/>
        <v>0.00169066317626521</v>
      </c>
      <c r="AL182" s="35">
        <f>出租!AL70-出租!AL72</f>
        <v>182.29</v>
      </c>
      <c r="AM182" s="36">
        <f t="shared" si="151"/>
        <v>-0.0126205178203879</v>
      </c>
      <c r="AN182" s="35">
        <f>出租!AN70-出租!AN72</f>
        <v>198.01</v>
      </c>
      <c r="AO182" s="36">
        <f t="shared" si="152"/>
        <v>-0.0104447776111944</v>
      </c>
      <c r="AP182" s="35">
        <f>出租!AP70-出租!AP72</f>
        <v>179.94</v>
      </c>
      <c r="AQ182" s="36">
        <f t="shared" si="153"/>
        <v>-0.0108839050131927</v>
      </c>
      <c r="AR182" s="35">
        <f>出租!AR70-出租!AR72</f>
        <v>168.48</v>
      </c>
      <c r="AS182" s="36">
        <f t="shared" si="154"/>
        <v>0.0197929907390593</v>
      </c>
      <c r="AT182" s="35">
        <f t="shared" si="155"/>
        <v>2267.33</v>
      </c>
      <c r="AU182" s="36">
        <f t="shared" si="156"/>
        <v>-0.0137283645585478</v>
      </c>
      <c r="AV182" s="37"/>
      <c r="AW182" s="35">
        <v>199.67</v>
      </c>
      <c r="AX182" s="36"/>
      <c r="AY182" s="35">
        <v>220.41</v>
      </c>
      <c r="AZ182" s="36"/>
      <c r="BA182" s="35">
        <v>199.2</v>
      </c>
      <c r="BB182" s="36"/>
      <c r="BC182" s="35">
        <v>194.53</v>
      </c>
      <c r="BD182" s="36"/>
      <c r="BE182" s="35">
        <v>201.04</v>
      </c>
      <c r="BF182" s="36"/>
      <c r="BG182" s="35">
        <v>183.58</v>
      </c>
      <c r="BH182" s="36"/>
      <c r="BI182" s="35">
        <v>185.25</v>
      </c>
      <c r="BJ182" s="36"/>
      <c r="BK182" s="35">
        <v>183.36</v>
      </c>
      <c r="BL182" s="36"/>
      <c r="BM182" s="35">
        <v>184.62</v>
      </c>
      <c r="BN182" s="36"/>
      <c r="BO182" s="35">
        <v>200.1</v>
      </c>
      <c r="BP182" s="36"/>
      <c r="BQ182" s="35">
        <v>181.92</v>
      </c>
      <c r="BR182" s="36"/>
      <c r="BS182" s="35">
        <v>165.21</v>
      </c>
      <c r="BT182" s="36"/>
      <c r="BU182" s="35">
        <f t="shared" si="157"/>
        <v>2298.89</v>
      </c>
      <c r="BV182" s="36"/>
      <c r="BW182" s="40"/>
      <c r="BX182" s="49"/>
      <c r="BY182" s="49"/>
      <c r="BZ182" s="49"/>
      <c r="CA182" s="49"/>
      <c r="CB182" s="49"/>
      <c r="CC182" s="49"/>
      <c r="CD182" s="50"/>
      <c r="CE182" s="49"/>
      <c r="CF182" s="50"/>
      <c r="CG182" s="50"/>
      <c r="CH182" s="50"/>
      <c r="CI182" s="50"/>
      <c r="CJ182" s="47"/>
    </row>
    <row r="183" ht="28.8" customHeight="1" spans="1:88">
      <c r="A183" s="29"/>
      <c r="B183" s="34" t="s">
        <v>304</v>
      </c>
      <c r="C183" s="35">
        <f>网约车!C70-网约车!C72</f>
        <v>160.9505000282</v>
      </c>
      <c r="D183" s="36">
        <f t="shared" si="134"/>
        <v>8.22875740489798</v>
      </c>
      <c r="E183" s="35">
        <f>网约车!E70-网约车!E72</f>
        <v>147.070491459089</v>
      </c>
      <c r="F183" s="36">
        <f t="shared" si="135"/>
        <v>5.88749842892082</v>
      </c>
      <c r="G183" s="35">
        <f>网约车!G70-网约车!G72</f>
        <v>141.173974324394</v>
      </c>
      <c r="H183" s="36">
        <f t="shared" si="136"/>
        <v>2.09407856393171</v>
      </c>
      <c r="I183" s="35">
        <f>网约车!I70-网约车!I72</f>
        <v>139.132432003536</v>
      </c>
      <c r="J183" s="36">
        <f t="shared" si="137"/>
        <v>3.7488075743977</v>
      </c>
      <c r="K183" s="35">
        <f>网约车!K70-网约车!K72</f>
        <v>150.086431282977</v>
      </c>
      <c r="L183" s="36">
        <f t="shared" si="138"/>
        <v>3.02250717538168</v>
      </c>
      <c r="M183" s="35">
        <f>网约车!M70-网约车!M72</f>
        <v>151.307024713094</v>
      </c>
      <c r="N183" s="36">
        <f t="shared" si="139"/>
        <v>2.64112319450366</v>
      </c>
      <c r="O183" s="35">
        <f>网约车!O70-网约车!O72</f>
        <v>163.073600003673</v>
      </c>
      <c r="P183" s="36">
        <f t="shared" si="140"/>
        <v>2.22002271127503</v>
      </c>
      <c r="Q183" s="127"/>
      <c r="R183" s="127"/>
      <c r="S183" s="131">
        <f t="shared" si="141"/>
        <v>1052.79445381496</v>
      </c>
      <c r="T183" s="132">
        <f t="shared" si="142"/>
        <v>2.55928390414608</v>
      </c>
      <c r="U183" s="35"/>
      <c r="V183" s="35">
        <f>网约车!V70-网约车!V72</f>
        <v>17.4401052023297</v>
      </c>
      <c r="W183" s="36">
        <f t="shared" si="143"/>
        <v>-0.820884807673591</v>
      </c>
      <c r="X183" s="35">
        <f>网约车!X70-网约车!X72</f>
        <v>21.353252269581</v>
      </c>
      <c r="Y183" s="36">
        <f t="shared" si="144"/>
        <v>-0.536541970150997</v>
      </c>
      <c r="Z183" s="35">
        <f>网约车!Z70-网约车!Z72</f>
        <v>45.6271459846195</v>
      </c>
      <c r="AA183" s="36">
        <f t="shared" si="145"/>
        <v>-0.350165661479287</v>
      </c>
      <c r="AB183" s="35">
        <f>网约车!AB70-网约车!AB72</f>
        <v>29.2983932963808</v>
      </c>
      <c r="AC183" s="36">
        <f t="shared" si="146"/>
        <v>-0.622489475066473</v>
      </c>
      <c r="AD183" s="35">
        <f>网约车!AD70-网约车!AD72</f>
        <v>37.3116627862164</v>
      </c>
      <c r="AE183" s="36">
        <f t="shared" si="147"/>
        <v>-0.54453407016424</v>
      </c>
      <c r="AF183" s="35">
        <f>网约车!AF70-网约车!AF72</f>
        <v>41.5550412964589</v>
      </c>
      <c r="AG183" s="36">
        <f t="shared" si="148"/>
        <v>-0.760854935743683</v>
      </c>
      <c r="AH183" s="35">
        <f>网约车!AH70-网约车!AH72</f>
        <v>50.6436179573096</v>
      </c>
      <c r="AI183" s="36">
        <f t="shared" si="149"/>
        <v>-0.525614363205517</v>
      </c>
      <c r="AJ183" s="35">
        <f>网约车!AJ70-网约车!AJ72</f>
        <v>52.5590583345906</v>
      </c>
      <c r="AK183" s="36">
        <f t="shared" si="150"/>
        <v>-0.751035023536086</v>
      </c>
      <c r="AL183" s="35">
        <f>网约车!AL70-网约车!AL72</f>
        <v>45.1793193574568</v>
      </c>
      <c r="AM183" s="36">
        <f t="shared" si="151"/>
        <v>-0.496716193945664</v>
      </c>
      <c r="AN183" s="35">
        <f>网约车!AN70-网约车!AN72</f>
        <v>63.2830585227458</v>
      </c>
      <c r="AO183" s="36">
        <f t="shared" si="152"/>
        <v>-0.324188853625378</v>
      </c>
      <c r="AP183" s="35">
        <f>网约车!AP70-网约车!AP72</f>
        <v>87.5641407172479</v>
      </c>
      <c r="AQ183" s="36">
        <f t="shared" si="153"/>
        <v>-0.0676596336932652</v>
      </c>
      <c r="AR183" s="35">
        <f>网约车!AR70-网约车!AR72</f>
        <v>136.43652007675</v>
      </c>
      <c r="AS183" s="36">
        <f t="shared" si="154"/>
        <v>0.311546517348728</v>
      </c>
      <c r="AT183" s="35">
        <f t="shared" si="155"/>
        <v>628.251315801687</v>
      </c>
      <c r="AU183" s="36">
        <f t="shared" si="156"/>
        <v>-0.495854703814267</v>
      </c>
      <c r="AV183" s="37"/>
      <c r="AW183" s="35">
        <v>97.368095781333</v>
      </c>
      <c r="AX183" s="36"/>
      <c r="AY183" s="35">
        <v>46.0737561857284</v>
      </c>
      <c r="AZ183" s="36"/>
      <c r="BA183" s="35">
        <v>70.2135040885734</v>
      </c>
      <c r="BB183" s="36"/>
      <c r="BC183" s="35">
        <v>77.60947407106</v>
      </c>
      <c r="BD183" s="36"/>
      <c r="BE183" s="35">
        <v>81.919766863069</v>
      </c>
      <c r="BF183" s="36"/>
      <c r="BG183" s="35">
        <v>173.764996679672</v>
      </c>
      <c r="BH183" s="36"/>
      <c r="BI183" s="35">
        <v>106.75622116116</v>
      </c>
      <c r="BJ183" s="36"/>
      <c r="BK183" s="35">
        <v>211.110249646736</v>
      </c>
      <c r="BL183" s="36"/>
      <c r="BM183" s="35">
        <v>89.7690702819456</v>
      </c>
      <c r="BN183" s="36"/>
      <c r="BO183" s="35">
        <v>93.6401520783236</v>
      </c>
      <c r="BP183" s="36"/>
      <c r="BQ183" s="35">
        <v>93.9186416052266</v>
      </c>
      <c r="BR183" s="36"/>
      <c r="BS183" s="35">
        <v>104.027206257659</v>
      </c>
      <c r="BT183" s="36"/>
      <c r="BU183" s="35">
        <f t="shared" si="157"/>
        <v>1246.17113470049</v>
      </c>
      <c r="BV183" s="36"/>
      <c r="BW183" s="40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7"/>
    </row>
    <row r="184" s="15" customFormat="1" ht="28.8" customHeight="1" spans="1:88">
      <c r="A184" s="48" t="s">
        <v>112</v>
      </c>
      <c r="B184" s="34" t="s">
        <v>300</v>
      </c>
      <c r="C184" s="35">
        <f>C185+C186+C187+C188</f>
        <v>320.029405984799</v>
      </c>
      <c r="D184" s="36">
        <f t="shared" si="134"/>
        <v>-0.263292918075178</v>
      </c>
      <c r="E184" s="35">
        <f>E185+E186+E187+E188</f>
        <v>670.263973358114</v>
      </c>
      <c r="F184" s="36">
        <f t="shared" si="135"/>
        <v>0.806399742063591</v>
      </c>
      <c r="G184" s="35">
        <f>G185+G186+G187+G188</f>
        <v>189.367916072058</v>
      </c>
      <c r="H184" s="36">
        <f t="shared" si="136"/>
        <v>-0.0653102703745996</v>
      </c>
      <c r="I184" s="35">
        <f>I185+I186+I187+I188</f>
        <v>288.827121315898</v>
      </c>
      <c r="J184" s="36">
        <f t="shared" si="137"/>
        <v>-0.107825002035052</v>
      </c>
      <c r="K184" s="35">
        <f>K185+K186+K187+K188</f>
        <v>345.536935687748</v>
      </c>
      <c r="L184" s="36">
        <f t="shared" si="138"/>
        <v>-0.174335937059142</v>
      </c>
      <c r="M184" s="35">
        <f>M185+M186+M187+M188</f>
        <v>252.374330883605</v>
      </c>
      <c r="N184" s="36">
        <f t="shared" si="139"/>
        <v>-0.215127369719334</v>
      </c>
      <c r="O184" s="35">
        <f>O185+O186+O187+O188</f>
        <v>292.884344890928</v>
      </c>
      <c r="P184" s="36">
        <f t="shared" si="140"/>
        <v>-0.563064608932509</v>
      </c>
      <c r="Q184" s="127"/>
      <c r="R184" s="127"/>
      <c r="S184" s="131">
        <f t="shared" si="141"/>
        <v>2359.28402819315</v>
      </c>
      <c r="T184" s="132">
        <f t="shared" si="142"/>
        <v>-0.340769503831456</v>
      </c>
      <c r="U184" s="35"/>
      <c r="V184" s="35">
        <f>V185+V186+V187+V188</f>
        <v>434.40522541014</v>
      </c>
      <c r="W184" s="36">
        <f t="shared" si="143"/>
        <v>-0.0258480454760296</v>
      </c>
      <c r="X184" s="35">
        <f>X185+X186+X187+X188</f>
        <v>371.049639650867</v>
      </c>
      <c r="Y184" s="36">
        <f t="shared" si="144"/>
        <v>-0.288108660764475</v>
      </c>
      <c r="Z184" s="35">
        <f>Z185+Z186+Z187+Z188</f>
        <v>202.599761257622</v>
      </c>
      <c r="AA184" s="36">
        <f t="shared" si="145"/>
        <v>0.109347466537409</v>
      </c>
      <c r="AB184" s="35">
        <f>AB185+AB186+AB187+AB188</f>
        <v>323.733709165481</v>
      </c>
      <c r="AC184" s="36">
        <f t="shared" si="146"/>
        <v>0.206406314571297</v>
      </c>
      <c r="AD184" s="35">
        <f>AD185+AD186+AD187+AD188</f>
        <v>418.495791686768</v>
      </c>
      <c r="AE184" s="36">
        <f t="shared" si="147"/>
        <v>0.17736790770842</v>
      </c>
      <c r="AF184" s="35">
        <f>AF185+AF186+AF187+AF188</f>
        <v>321.548135515131</v>
      </c>
      <c r="AG184" s="36">
        <f t="shared" si="148"/>
        <v>-0.00352947959571603</v>
      </c>
      <c r="AH184" s="35">
        <f>AH185+AH186+AH187+AH188</f>
        <v>670.314995943388</v>
      </c>
      <c r="AI184" s="36">
        <f t="shared" si="149"/>
        <v>0.217161933320743</v>
      </c>
      <c r="AJ184" s="35">
        <f>AJ185+AJ186+AJ187+AJ188</f>
        <v>836.698140522095</v>
      </c>
      <c r="AK184" s="36">
        <f t="shared" si="150"/>
        <v>0.00425343988852656</v>
      </c>
      <c r="AL184" s="35">
        <f>AL185+AL186+AL187+AL188</f>
        <v>315.513406729148</v>
      </c>
      <c r="AM184" s="36">
        <f t="shared" si="151"/>
        <v>0.093100001360843</v>
      </c>
      <c r="AN184" s="35">
        <f>AN185+AN186+AN187+AN188</f>
        <v>287.285725197792</v>
      </c>
      <c r="AO184" s="36">
        <f t="shared" si="152"/>
        <v>-0.297212589695097</v>
      </c>
      <c r="AP184" s="35">
        <f>AP185+AP186+AP187+AP188</f>
        <v>220.152577776324</v>
      </c>
      <c r="AQ184" s="36">
        <f t="shared" si="153"/>
        <v>0.190699634926892</v>
      </c>
      <c r="AR184" s="35">
        <f>AR185+AR186+AR187+AR188</f>
        <v>205.043317167018</v>
      </c>
      <c r="AS184" s="36">
        <f t="shared" si="154"/>
        <v>0.11445030982825</v>
      </c>
      <c r="AT184" s="35">
        <f t="shared" si="155"/>
        <v>4606.84042602178</v>
      </c>
      <c r="AU184" s="36">
        <f t="shared" si="156"/>
        <v>0.0132861521458678</v>
      </c>
      <c r="AV184" s="37"/>
      <c r="AW184" s="38">
        <f>AW185+AW186+AW187+AW188</f>
        <v>445.931687959726</v>
      </c>
      <c r="AX184" s="37"/>
      <c r="AY184" s="38">
        <f>AY185+AY186+AY187+AY188</f>
        <v>521.216679007956</v>
      </c>
      <c r="AZ184" s="37"/>
      <c r="BA184" s="38">
        <f>BA185+BA186+BA187+BA188</f>
        <v>182.629669575029</v>
      </c>
      <c r="BB184" s="37"/>
      <c r="BC184" s="38">
        <f>BC185+BC186+BC187+BC188</f>
        <v>268.345502883514</v>
      </c>
      <c r="BD184" s="37"/>
      <c r="BE184" s="38">
        <f>BE185+BE186+BE187+BE188</f>
        <v>355.450313319064</v>
      </c>
      <c r="BF184" s="37"/>
      <c r="BG184" s="38">
        <f>BG185+BG186+BG187+BG188</f>
        <v>322.687052884087</v>
      </c>
      <c r="BH184" s="37"/>
      <c r="BI184" s="38">
        <f>BI185+BI186+BI187+BI188</f>
        <v>550.719651669182</v>
      </c>
      <c r="BJ184" s="37"/>
      <c r="BK184" s="38">
        <f>BK185+BK186+BK187+BK188</f>
        <v>833.154368497827</v>
      </c>
      <c r="BL184" s="37"/>
      <c r="BM184" s="38">
        <f>BM185+BM186+BM187+BM188</f>
        <v>288.640935263337</v>
      </c>
      <c r="BN184" s="37"/>
      <c r="BO184" s="38">
        <f>BO185+BO186+BO187+BO188</f>
        <v>408.780409246593</v>
      </c>
      <c r="BP184" s="37"/>
      <c r="BQ184" s="38">
        <f>BQ185+BQ186+BQ187+BQ188</f>
        <v>184.893462060935</v>
      </c>
      <c r="BR184" s="37"/>
      <c r="BS184" s="38">
        <f>BS185+BS186+BS187+BS188</f>
        <v>183.986056048222</v>
      </c>
      <c r="BT184" s="37"/>
      <c r="BU184" s="38">
        <f t="shared" si="157"/>
        <v>4546.43578841547</v>
      </c>
      <c r="BV184" s="37"/>
      <c r="BW184" s="39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</row>
    <row r="185" ht="28.8" customHeight="1" spans="1:88">
      <c r="A185" s="45"/>
      <c r="B185" s="34" t="s">
        <v>301</v>
      </c>
      <c r="C185" s="35">
        <f>班线包车!C57</f>
        <v>265.8931</v>
      </c>
      <c r="D185" s="36">
        <f t="shared" si="134"/>
        <v>-0.333669055228967</v>
      </c>
      <c r="E185" s="35">
        <f>班线包车!E57</f>
        <v>624.3892</v>
      </c>
      <c r="F185" s="36">
        <f t="shared" si="135"/>
        <v>0.843002623165857</v>
      </c>
      <c r="G185" s="35">
        <f>班线包车!G57</f>
        <v>137.2869</v>
      </c>
      <c r="H185" s="36">
        <f t="shared" si="136"/>
        <v>-0.154370192061901</v>
      </c>
      <c r="I185" s="35">
        <f>班线包车!I57</f>
        <v>237.1374</v>
      </c>
      <c r="J185" s="36">
        <f t="shared" si="137"/>
        <v>-0.164315006725657</v>
      </c>
      <c r="K185" s="35">
        <f>班线包车!K57</f>
        <v>292.4533</v>
      </c>
      <c r="L185" s="36">
        <f t="shared" si="138"/>
        <v>-0.221377181723377</v>
      </c>
      <c r="M185" s="35">
        <f>班线包车!M57</f>
        <v>196.8723</v>
      </c>
      <c r="N185" s="36">
        <f t="shared" si="139"/>
        <v>-0.295899404953074</v>
      </c>
      <c r="O185" s="35">
        <f>班线包车!O57</f>
        <v>234.0598</v>
      </c>
      <c r="P185" s="36">
        <f t="shared" si="140"/>
        <v>-0.626064505285921</v>
      </c>
      <c r="Q185" s="127"/>
      <c r="R185" s="127"/>
      <c r="S185" s="131">
        <f t="shared" si="141"/>
        <v>1988.092</v>
      </c>
      <c r="T185" s="132">
        <f t="shared" si="142"/>
        <v>-0.390333304814028</v>
      </c>
      <c r="U185" s="35"/>
      <c r="V185" s="35">
        <f>班线包车!V57</f>
        <v>399.0406</v>
      </c>
      <c r="W185" s="36">
        <f t="shared" si="143"/>
        <v>-0.0299470341764237</v>
      </c>
      <c r="X185" s="35">
        <f>班线包车!X57</f>
        <v>338.7891</v>
      </c>
      <c r="Y185" s="36">
        <f t="shared" si="144"/>
        <v>-0.30722126465633</v>
      </c>
      <c r="Z185" s="35">
        <f>班线包车!Z57</f>
        <v>162.3487</v>
      </c>
      <c r="AA185" s="36">
        <f t="shared" si="145"/>
        <v>0.0786285661134511</v>
      </c>
      <c r="AB185" s="35">
        <f>班线包车!AB57</f>
        <v>283.7641</v>
      </c>
      <c r="AC185" s="36">
        <f t="shared" si="146"/>
        <v>0.21818693850812</v>
      </c>
      <c r="AD185" s="35">
        <f>班线包车!AD57</f>
        <v>375.6033</v>
      </c>
      <c r="AE185" s="36">
        <f t="shared" si="147"/>
        <v>0.181542988472193</v>
      </c>
      <c r="AF185" s="35">
        <f>班线包车!AF57</f>
        <v>279.6082</v>
      </c>
      <c r="AG185" s="36">
        <f t="shared" si="148"/>
        <v>-0.0228641681239402</v>
      </c>
      <c r="AH185" s="35">
        <f>班线包车!AH57</f>
        <v>625.9363</v>
      </c>
      <c r="AI185" s="36">
        <f t="shared" si="149"/>
        <v>0.289025405857796</v>
      </c>
      <c r="AJ185" s="35">
        <f>班线包车!AJ57</f>
        <v>795.8587</v>
      </c>
      <c r="AK185" s="36">
        <f t="shared" si="150"/>
        <v>0.0312134808195872</v>
      </c>
      <c r="AL185" s="35">
        <f>班线包车!AL57</f>
        <v>275.5023</v>
      </c>
      <c r="AM185" s="36">
        <f t="shared" si="151"/>
        <v>0.0907029729820679</v>
      </c>
      <c r="AN185" s="35">
        <f>班线包车!AN57</f>
        <v>244.5013</v>
      </c>
      <c r="AO185" s="36">
        <f t="shared" si="152"/>
        <v>-0.345122055743343</v>
      </c>
      <c r="AP185" s="35">
        <f>班线包车!AP57</f>
        <v>179.5328</v>
      </c>
      <c r="AQ185" s="36">
        <f t="shared" si="153"/>
        <v>0.194482830200856</v>
      </c>
      <c r="AR185" s="35">
        <f>班线包车!AR57</f>
        <v>161.6252</v>
      </c>
      <c r="AS185" s="36">
        <f t="shared" si="154"/>
        <v>0.0860821060256736</v>
      </c>
      <c r="AT185" s="35">
        <f t="shared" si="155"/>
        <v>4122.1106</v>
      </c>
      <c r="AU185" s="36">
        <f t="shared" si="156"/>
        <v>0.0127275455680773</v>
      </c>
      <c r="AV185" s="37"/>
      <c r="AW185" s="35">
        <v>411.3596</v>
      </c>
      <c r="AX185" s="36"/>
      <c r="AY185" s="35">
        <v>489.0293</v>
      </c>
      <c r="AZ185" s="36"/>
      <c r="BA185" s="35">
        <v>150.514</v>
      </c>
      <c r="BB185" s="36"/>
      <c r="BC185" s="35">
        <v>232.9397</v>
      </c>
      <c r="BD185" s="36"/>
      <c r="BE185" s="35">
        <v>317.8922</v>
      </c>
      <c r="BF185" s="36"/>
      <c r="BG185" s="35">
        <v>286.1508</v>
      </c>
      <c r="BH185" s="36"/>
      <c r="BI185" s="35">
        <v>485.5888</v>
      </c>
      <c r="BJ185" s="36"/>
      <c r="BK185" s="35">
        <v>771.7691</v>
      </c>
      <c r="BL185" s="36"/>
      <c r="BM185" s="35">
        <v>252.5915</v>
      </c>
      <c r="BN185" s="36"/>
      <c r="BO185" s="35">
        <v>373.354</v>
      </c>
      <c r="BP185" s="36"/>
      <c r="BQ185" s="35">
        <v>150.3017</v>
      </c>
      <c r="BR185" s="36"/>
      <c r="BS185" s="35">
        <v>148.8149</v>
      </c>
      <c r="BT185" s="36"/>
      <c r="BU185" s="35">
        <f t="shared" si="157"/>
        <v>4070.3056</v>
      </c>
      <c r="BV185" s="36"/>
      <c r="BW185" s="4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47"/>
    </row>
    <row r="186" ht="28.8" customHeight="1" spans="1:88">
      <c r="A186" s="45"/>
      <c r="B186" s="34" t="s">
        <v>302</v>
      </c>
      <c r="C186" s="35">
        <f>公交!C74-公交!C76</f>
        <v>28.07</v>
      </c>
      <c r="D186" s="36">
        <f t="shared" si="134"/>
        <v>0.497066666666668</v>
      </c>
      <c r="E186" s="35">
        <f>公交!E74-公交!E76</f>
        <v>20</v>
      </c>
      <c r="F186" s="36">
        <f t="shared" si="135"/>
        <v>0.277955271565495</v>
      </c>
      <c r="G186" s="35">
        <f>公交!G74-公交!G76</f>
        <v>26</v>
      </c>
      <c r="H186" s="36">
        <f t="shared" si="136"/>
        <v>0.109688433632095</v>
      </c>
      <c r="I186" s="35">
        <f>公交!I74-公交!I76</f>
        <v>25.6</v>
      </c>
      <c r="J186" s="36">
        <f t="shared" si="137"/>
        <v>0.0963597430406853</v>
      </c>
      <c r="K186" s="35">
        <f>公交!K74-公交!K76</f>
        <v>26.75</v>
      </c>
      <c r="L186" s="36">
        <f t="shared" si="138"/>
        <v>0.019047619047619</v>
      </c>
      <c r="M186" s="35">
        <f>公交!M74-公交!M76</f>
        <v>28.93</v>
      </c>
      <c r="N186" s="36">
        <f t="shared" si="139"/>
        <v>0.142123963679431</v>
      </c>
      <c r="O186" s="35">
        <f>公交!O74-公交!O76</f>
        <v>31.95</v>
      </c>
      <c r="P186" s="36">
        <f t="shared" si="140"/>
        <v>0.174632352941176</v>
      </c>
      <c r="Q186" s="127"/>
      <c r="R186" s="127"/>
      <c r="S186" s="131">
        <f t="shared" si="141"/>
        <v>187.3</v>
      </c>
      <c r="T186" s="132">
        <f t="shared" si="142"/>
        <v>0.018654484146408</v>
      </c>
      <c r="U186" s="35"/>
      <c r="V186" s="35">
        <f>公交!V74-公交!V76</f>
        <v>18.75</v>
      </c>
      <c r="W186" s="36">
        <f t="shared" si="143"/>
        <v>-0.00688559322033933</v>
      </c>
      <c r="X186" s="35">
        <f>公交!X74-公交!X76</f>
        <v>15.65</v>
      </c>
      <c r="Y186" s="36">
        <f t="shared" si="144"/>
        <v>-0.0515151515151516</v>
      </c>
      <c r="Z186" s="35">
        <f>公交!Z74-公交!Z76</f>
        <v>23.43</v>
      </c>
      <c r="AA186" s="36">
        <f t="shared" si="145"/>
        <v>0.428658536585366</v>
      </c>
      <c r="AB186" s="35">
        <f>公交!AB74-公交!AB76</f>
        <v>23.35</v>
      </c>
      <c r="AC186" s="36">
        <f t="shared" si="146"/>
        <v>0.181680161943319</v>
      </c>
      <c r="AD186" s="35">
        <f>公交!AD74-公交!AD76</f>
        <v>26.25</v>
      </c>
      <c r="AE186" s="36">
        <f t="shared" si="147"/>
        <v>0.198630136986301</v>
      </c>
      <c r="AF186" s="35">
        <f>公交!AF74-公交!AF76</f>
        <v>25.33</v>
      </c>
      <c r="AG186" s="36">
        <f t="shared" si="148"/>
        <v>0.213122605363985</v>
      </c>
      <c r="AH186" s="35">
        <f>公交!AH74-公交!AH76</f>
        <v>27.2</v>
      </c>
      <c r="AI186" s="36">
        <f t="shared" si="149"/>
        <v>0.140939597315436</v>
      </c>
      <c r="AJ186" s="35">
        <f>公交!AJ74-公交!AJ76</f>
        <v>23.91</v>
      </c>
      <c r="AK186" s="36">
        <f t="shared" si="150"/>
        <v>0.196696696696697</v>
      </c>
      <c r="AL186" s="35">
        <f>公交!AL74-公交!AL76</f>
        <v>23.22</v>
      </c>
      <c r="AM186" s="36">
        <f t="shared" si="151"/>
        <v>0.158104738154613</v>
      </c>
      <c r="AN186" s="35">
        <f>公交!AN74-公交!AN76</f>
        <v>25.95</v>
      </c>
      <c r="AO186" s="36">
        <f t="shared" si="152"/>
        <v>0.320610687022901</v>
      </c>
      <c r="AP186" s="35">
        <f>公交!AP74-公交!AP76</f>
        <v>24.13</v>
      </c>
      <c r="AQ186" s="36">
        <f t="shared" si="153"/>
        <v>0.286933333333333</v>
      </c>
      <c r="AR186" s="35">
        <f>公交!AR74-公交!AR76</f>
        <v>26.75</v>
      </c>
      <c r="AS186" s="36">
        <f t="shared" si="154"/>
        <v>0.361323155216285</v>
      </c>
      <c r="AT186" s="35">
        <f t="shared" si="155"/>
        <v>283.92</v>
      </c>
      <c r="AU186" s="36">
        <f t="shared" si="156"/>
        <v>0.201828648831696</v>
      </c>
      <c r="AV186" s="37"/>
      <c r="AW186" s="35">
        <v>18.88</v>
      </c>
      <c r="AX186" s="36"/>
      <c r="AY186" s="35">
        <v>16.5</v>
      </c>
      <c r="AZ186" s="36"/>
      <c r="BA186" s="35">
        <v>16.4</v>
      </c>
      <c r="BB186" s="36"/>
      <c r="BC186" s="35">
        <v>19.76</v>
      </c>
      <c r="BD186" s="36"/>
      <c r="BE186" s="35">
        <v>21.9</v>
      </c>
      <c r="BF186" s="36"/>
      <c r="BG186" s="35">
        <v>20.88</v>
      </c>
      <c r="BH186" s="36"/>
      <c r="BI186" s="35">
        <v>23.84</v>
      </c>
      <c r="BJ186" s="36"/>
      <c r="BK186" s="35">
        <v>19.98</v>
      </c>
      <c r="BL186" s="36"/>
      <c r="BM186" s="35">
        <v>20.05</v>
      </c>
      <c r="BN186" s="36"/>
      <c r="BO186" s="35">
        <v>19.65</v>
      </c>
      <c r="BP186" s="36"/>
      <c r="BQ186" s="35">
        <v>18.75</v>
      </c>
      <c r="BR186" s="36"/>
      <c r="BS186" s="35">
        <v>19.65</v>
      </c>
      <c r="BT186" s="36"/>
      <c r="BU186" s="35">
        <f t="shared" si="157"/>
        <v>236.24</v>
      </c>
      <c r="BV186" s="36"/>
      <c r="BW186" s="40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7"/>
    </row>
    <row r="187" ht="28.8" customHeight="1" spans="1:88">
      <c r="A187" s="45"/>
      <c r="B187" s="34" t="s">
        <v>303</v>
      </c>
      <c r="C187" s="35">
        <f>出租!C74-出租!C76</f>
        <v>25.4</v>
      </c>
      <c r="D187" s="36">
        <f t="shared" si="134"/>
        <v>0.553516819571866</v>
      </c>
      <c r="E187" s="35">
        <f>出租!E74-出租!E76</f>
        <v>25.38</v>
      </c>
      <c r="F187" s="36">
        <f t="shared" si="135"/>
        <v>0.553243574051407</v>
      </c>
      <c r="G187" s="35">
        <f>出租!G74-出租!G76</f>
        <v>25.39</v>
      </c>
      <c r="H187" s="36">
        <f t="shared" si="136"/>
        <v>0.552905198776758</v>
      </c>
      <c r="I187" s="35">
        <f>出租!I74-出租!I76</f>
        <v>25.4</v>
      </c>
      <c r="J187" s="36">
        <f t="shared" si="137"/>
        <v>0.551618814905315</v>
      </c>
      <c r="K187" s="35">
        <f>出租!K74-出租!K76</f>
        <v>25.5</v>
      </c>
      <c r="L187" s="36">
        <f t="shared" si="138"/>
        <v>0.555826723611959</v>
      </c>
      <c r="M187" s="35">
        <f>出租!M74-出租!M76</f>
        <v>25.57</v>
      </c>
      <c r="N187" s="36">
        <f t="shared" si="139"/>
        <v>0.559146341463415</v>
      </c>
      <c r="O187" s="35">
        <f>出租!O74-出租!O76</f>
        <v>25.73</v>
      </c>
      <c r="P187" s="36">
        <f t="shared" si="140"/>
        <v>0.537955768081291</v>
      </c>
      <c r="Q187" s="127"/>
      <c r="R187" s="127"/>
      <c r="S187" s="131">
        <f t="shared" si="141"/>
        <v>178.37</v>
      </c>
      <c r="T187" s="132">
        <f t="shared" si="142"/>
        <v>0.358078270138571</v>
      </c>
      <c r="U187" s="35"/>
      <c r="V187" s="35">
        <f>出租!V74-出租!V76</f>
        <v>16.35</v>
      </c>
      <c r="W187" s="36">
        <f t="shared" si="143"/>
        <v>0.0453964194373402</v>
      </c>
      <c r="X187" s="35">
        <f>出租!X74-出租!X76</f>
        <v>16.34</v>
      </c>
      <c r="Y187" s="36">
        <f t="shared" si="144"/>
        <v>0.0440894568690098</v>
      </c>
      <c r="Z187" s="35">
        <f>出租!Z74-出租!Z76</f>
        <v>16.35</v>
      </c>
      <c r="AA187" s="36">
        <f t="shared" si="145"/>
        <v>0.0427295918367347</v>
      </c>
      <c r="AB187" s="35">
        <f>出租!AB74-出租!AB76</f>
        <v>16.37</v>
      </c>
      <c r="AC187" s="36">
        <f t="shared" si="146"/>
        <v>0.0486867392696988</v>
      </c>
      <c r="AD187" s="35">
        <f>出租!AD74-出租!AD76</f>
        <v>16.39</v>
      </c>
      <c r="AE187" s="36">
        <f t="shared" si="147"/>
        <v>0.0492957746478875</v>
      </c>
      <c r="AF187" s="35">
        <f>出租!AF74-出租!AF76</f>
        <v>16.4</v>
      </c>
      <c r="AG187" s="36">
        <f t="shared" si="148"/>
        <v>0.0519563822963438</v>
      </c>
      <c r="AH187" s="35">
        <f>出租!AH74-出租!AH76</f>
        <v>16.73</v>
      </c>
      <c r="AI187" s="36">
        <f t="shared" si="149"/>
        <v>-0.593240943350352</v>
      </c>
      <c r="AJ187" s="35">
        <f>出租!AJ74-出租!AJ76</f>
        <v>16.41</v>
      </c>
      <c r="AK187" s="36">
        <f t="shared" si="150"/>
        <v>-0.59808963997061</v>
      </c>
      <c r="AL187" s="35">
        <f>出租!AL74-出租!AL76</f>
        <v>16.42</v>
      </c>
      <c r="AM187" s="36">
        <f t="shared" si="151"/>
        <v>0.0314070351758791</v>
      </c>
      <c r="AN187" s="35">
        <f>出租!AN74-出租!AN76</f>
        <v>16.4</v>
      </c>
      <c r="AO187" s="36">
        <f t="shared" si="152"/>
        <v>0.0472541507024264</v>
      </c>
      <c r="AP187" s="35">
        <f>出租!AP74-出租!AP76</f>
        <v>16.12</v>
      </c>
      <c r="AQ187" s="36">
        <f t="shared" si="153"/>
        <v>0.0254452926208655</v>
      </c>
      <c r="AR187" s="35">
        <f>出租!AR74-出租!AR76</f>
        <v>16.25</v>
      </c>
      <c r="AS187" s="36">
        <f t="shared" si="154"/>
        <v>0.0572543916720885</v>
      </c>
      <c r="AT187" s="35">
        <f t="shared" si="155"/>
        <v>196.53</v>
      </c>
      <c r="AU187" s="36">
        <f t="shared" si="156"/>
        <v>-0.175698347454073</v>
      </c>
      <c r="AV187" s="127"/>
      <c r="AW187" s="35">
        <v>15.64</v>
      </c>
      <c r="AX187" s="36"/>
      <c r="AY187" s="35">
        <v>15.65</v>
      </c>
      <c r="AZ187" s="36"/>
      <c r="BA187" s="35">
        <v>15.68</v>
      </c>
      <c r="BB187" s="36"/>
      <c r="BC187" s="35">
        <v>15.61</v>
      </c>
      <c r="BD187" s="36"/>
      <c r="BE187" s="35">
        <v>15.62</v>
      </c>
      <c r="BF187" s="36"/>
      <c r="BG187" s="35">
        <v>15.59</v>
      </c>
      <c r="BH187" s="36"/>
      <c r="BI187" s="35">
        <v>41.13</v>
      </c>
      <c r="BJ187" s="36"/>
      <c r="BK187" s="35">
        <v>40.83</v>
      </c>
      <c r="BL187" s="36"/>
      <c r="BM187" s="35">
        <v>15.92</v>
      </c>
      <c r="BN187" s="36"/>
      <c r="BO187" s="35">
        <v>15.66</v>
      </c>
      <c r="BP187" s="36"/>
      <c r="BQ187" s="35">
        <v>15.72</v>
      </c>
      <c r="BR187" s="36"/>
      <c r="BS187" s="35">
        <v>15.37</v>
      </c>
      <c r="BT187" s="36"/>
      <c r="BU187" s="35">
        <f t="shared" si="157"/>
        <v>238.42</v>
      </c>
      <c r="BV187" s="36"/>
      <c r="BW187" s="40"/>
      <c r="BX187" s="49"/>
      <c r="BY187" s="49"/>
      <c r="BZ187" s="49"/>
      <c r="CA187" s="49"/>
      <c r="CB187" s="49"/>
      <c r="CC187" s="49"/>
      <c r="CD187" s="50"/>
      <c r="CE187" s="49"/>
      <c r="CF187" s="50"/>
      <c r="CG187" s="50"/>
      <c r="CH187" s="50"/>
      <c r="CI187" s="50"/>
      <c r="CJ187" s="47"/>
    </row>
    <row r="188" ht="28.8" customHeight="1" spans="1:88">
      <c r="A188" s="29"/>
      <c r="B188" s="34" t="s">
        <v>304</v>
      </c>
      <c r="C188" s="35">
        <f>网约车!C74-网约车!C76</f>
        <v>0.666305984798609</v>
      </c>
      <c r="D188" s="36">
        <f t="shared" si="134"/>
        <v>1.51792140613488</v>
      </c>
      <c r="E188" s="35">
        <f>网约车!E74-网约车!E76</f>
        <v>0.49477335811447</v>
      </c>
      <c r="F188" s="36">
        <f t="shared" si="135"/>
        <v>0.828838606573815</v>
      </c>
      <c r="G188" s="35">
        <f>网约车!G74-网约车!G76</f>
        <v>0.691016072057778</v>
      </c>
      <c r="H188" s="36">
        <f t="shared" si="136"/>
        <v>0.466934630849378</v>
      </c>
      <c r="I188" s="35">
        <f>网约车!I74-网约车!I76</f>
        <v>0.689721315898305</v>
      </c>
      <c r="J188" s="36">
        <f t="shared" si="137"/>
        <v>1.76320508731427</v>
      </c>
      <c r="K188" s="35">
        <f>网约车!K74-网约车!K76</f>
        <v>0.83363568774828</v>
      </c>
      <c r="L188" s="36">
        <f t="shared" si="138"/>
        <v>2.30163617827544</v>
      </c>
      <c r="M188" s="35">
        <f>网约车!M74-网约车!M76</f>
        <v>1.00203088360468</v>
      </c>
      <c r="N188" s="36">
        <f t="shared" si="139"/>
        <v>3.77304129785217</v>
      </c>
      <c r="O188" s="35">
        <f>网约车!O74-网约车!O76</f>
        <v>1.14454489092807</v>
      </c>
      <c r="P188" s="36">
        <f t="shared" si="140"/>
        <v>1.55082513625243</v>
      </c>
      <c r="Q188" s="127"/>
      <c r="R188" s="127"/>
      <c r="S188" s="131">
        <f t="shared" si="141"/>
        <v>5.52202819315019</v>
      </c>
      <c r="T188" s="132">
        <f t="shared" si="142"/>
        <v>1.05555015533769</v>
      </c>
      <c r="U188" s="35"/>
      <c r="V188" s="35">
        <f>网约车!V74-网约车!V76</f>
        <v>0.264625410139953</v>
      </c>
      <c r="W188" s="36">
        <f t="shared" si="143"/>
        <v>4.0803566032134</v>
      </c>
      <c r="X188" s="35">
        <f>网约车!X74-网约车!X76</f>
        <v>0.270539650866945</v>
      </c>
      <c r="Y188" s="36">
        <f t="shared" si="144"/>
        <v>6.23774293808836</v>
      </c>
      <c r="Z188" s="35">
        <f>网约车!Z74-网约车!Z76</f>
        <v>0.471061257622413</v>
      </c>
      <c r="AA188" s="36">
        <f t="shared" si="145"/>
        <v>12.206248104741</v>
      </c>
      <c r="AB188" s="35">
        <f>网约车!AB74-网约车!AB76</f>
        <v>0.249609165481339</v>
      </c>
      <c r="AC188" s="36">
        <f t="shared" si="146"/>
        <v>5.97176151705557</v>
      </c>
      <c r="AD188" s="35">
        <f>网约车!AD74-网约车!AD76</f>
        <v>0.252491686768382</v>
      </c>
      <c r="AE188" s="36">
        <f t="shared" si="147"/>
        <v>5.62476249696751</v>
      </c>
      <c r="AF188" s="35">
        <f>网约车!AF74-网约车!AF76</f>
        <v>0.209935515130696</v>
      </c>
      <c r="AG188" s="36">
        <f t="shared" si="148"/>
        <v>2.16870001999245</v>
      </c>
      <c r="AH188" s="35">
        <f>网约车!AH74-网约车!AH76</f>
        <v>0.44869594338779</v>
      </c>
      <c r="AI188" s="36">
        <f t="shared" si="149"/>
        <v>1.78950131925719</v>
      </c>
      <c r="AJ188" s="35">
        <f>网约车!AJ74-网约车!AJ76</f>
        <v>0.51944052209534</v>
      </c>
      <c r="AK188" s="36">
        <f t="shared" si="150"/>
        <v>-0.097046815429781</v>
      </c>
      <c r="AL188" s="35">
        <f>网约车!AL74-网约车!AL76</f>
        <v>0.371106729148078</v>
      </c>
      <c r="AM188" s="36">
        <f t="shared" si="151"/>
        <v>3.67181341838174</v>
      </c>
      <c r="AN188" s="35">
        <f>网约车!AN74-网约车!AN76</f>
        <v>0.43442519779153</v>
      </c>
      <c r="AO188" s="36">
        <f t="shared" si="152"/>
        <v>2.73187878546452</v>
      </c>
      <c r="AP188" s="35">
        <f>网约车!AP74-网约车!AP76</f>
        <v>0.369777776324247</v>
      </c>
      <c r="AQ188" s="36">
        <f t="shared" si="153"/>
        <v>2.03688828429278</v>
      </c>
      <c r="AR188" s="35">
        <f>网约车!AR74-网约车!AR76</f>
        <v>0.418117167018412</v>
      </c>
      <c r="AS188" s="36">
        <f t="shared" si="154"/>
        <v>1.76612925475025</v>
      </c>
      <c r="AT188" s="35">
        <f t="shared" si="155"/>
        <v>4.27982602177513</v>
      </c>
      <c r="AU188" s="36">
        <f t="shared" si="156"/>
        <v>1.91107315004186</v>
      </c>
      <c r="AV188" s="127"/>
      <c r="AW188" s="35">
        <v>0.0520879597256172</v>
      </c>
      <c r="AX188" s="36"/>
      <c r="AY188" s="35">
        <v>0.0373790079560908</v>
      </c>
      <c r="AZ188" s="36"/>
      <c r="BA188" s="35">
        <v>0.0356695750289065</v>
      </c>
      <c r="BB188" s="36"/>
      <c r="BC188" s="35">
        <v>0.0358028835138294</v>
      </c>
      <c r="BD188" s="36"/>
      <c r="BE188" s="35">
        <v>0.038113319063734</v>
      </c>
      <c r="BF188" s="36"/>
      <c r="BG188" s="35">
        <v>0.0662528840868932</v>
      </c>
      <c r="BH188" s="36"/>
      <c r="BI188" s="35">
        <v>0.160851669181957</v>
      </c>
      <c r="BJ188" s="36"/>
      <c r="BK188" s="35">
        <v>0.575268497826473</v>
      </c>
      <c r="BL188" s="36"/>
      <c r="BM188" s="35">
        <v>0.0794352633364851</v>
      </c>
      <c r="BN188" s="36"/>
      <c r="BO188" s="35">
        <v>0.116409246592787</v>
      </c>
      <c r="BP188" s="36"/>
      <c r="BQ188" s="35">
        <v>0.121762060934803</v>
      </c>
      <c r="BR188" s="36"/>
      <c r="BS188" s="35">
        <v>0.151156048221674</v>
      </c>
      <c r="BT188" s="36"/>
      <c r="BU188" s="35">
        <f t="shared" si="157"/>
        <v>1.47018841546925</v>
      </c>
      <c r="BV188" s="36"/>
      <c r="BW188" s="40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47"/>
    </row>
  </sheetData>
  <autoFilter xmlns:etc="http://www.wps.cn/officeDocument/2017/etCustomData" ref="A98:CH188" etc:filterBottomFollowUsedRange="0">
    <extLst/>
  </autoFilter>
  <mergeCells count="239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3:AW4"/>
    <mergeCell ref="AW97:AW98"/>
    <mergeCell ref="AX1:AX2"/>
    <mergeCell ref="AX3:AX4"/>
    <mergeCell ref="AX97:AX98"/>
    <mergeCell ref="AY3:AY4"/>
    <mergeCell ref="AY97:AY98"/>
    <mergeCell ref="AZ1:AZ2"/>
    <mergeCell ref="AZ3:AZ4"/>
    <mergeCell ref="AZ97:AZ98"/>
    <mergeCell ref="BA3:BA4"/>
    <mergeCell ref="BA97:BA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N1:BN2"/>
    <mergeCell ref="BN3:BN4"/>
    <mergeCell ref="BN97:BN98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X3:BX4"/>
    <mergeCell ref="BX97:BX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zoomScale="85" zoomScaleNormal="85" workbookViewId="0">
      <selection activeCell="A1" sqref="A$1:I$1048576"/>
    </sheetView>
  </sheetViews>
  <sheetFormatPr defaultColWidth="8.88888888888889" defaultRowHeight="14.4"/>
  <cols>
    <col min="1" max="1" width="7" style="16" customWidth="1"/>
    <col min="2" max="2" width="12.6666666666667" style="16" customWidth="1"/>
    <col min="3" max="3" width="11" style="16" customWidth="1"/>
    <col min="4" max="4" width="10" style="16" customWidth="1"/>
    <col min="5" max="5" width="11" style="16" customWidth="1"/>
    <col min="6" max="6" width="15.6666666666667" style="16" customWidth="1"/>
    <col min="7" max="7" width="11" style="16" customWidth="1"/>
    <col min="8" max="8" width="10" style="16" customWidth="1"/>
    <col min="9" max="9" width="11" style="16" customWidth="1"/>
  </cols>
  <sheetData>
    <row r="1" ht="43" customHeight="1" spans="1:9">
      <c r="A1" s="122" t="s">
        <v>305</v>
      </c>
      <c r="B1" s="123"/>
      <c r="C1" s="123"/>
      <c r="D1" s="123"/>
      <c r="E1" s="123"/>
      <c r="F1" s="123"/>
      <c r="G1" s="123"/>
      <c r="H1" s="123"/>
      <c r="I1" s="123"/>
    </row>
    <row r="2" s="121" customFormat="1" ht="39" customHeight="1" spans="1:9">
      <c r="A2" s="124" t="s">
        <v>114</v>
      </c>
      <c r="B2" s="124" t="s">
        <v>306</v>
      </c>
      <c r="C2" s="124" t="s">
        <v>123</v>
      </c>
      <c r="D2" s="124" t="s">
        <v>307</v>
      </c>
      <c r="E2" s="124" t="s">
        <v>126</v>
      </c>
      <c r="F2" s="124" t="s">
        <v>308</v>
      </c>
      <c r="G2" s="124" t="s">
        <v>123</v>
      </c>
      <c r="H2" s="124" t="s">
        <v>307</v>
      </c>
      <c r="I2" s="124" t="s">
        <v>126</v>
      </c>
    </row>
    <row r="3" ht="27" customHeight="1" spans="1:9">
      <c r="A3" s="90" t="s">
        <v>80</v>
      </c>
      <c r="B3" s="97">
        <f>SUM(B4:B20)</f>
        <v>27524.4906</v>
      </c>
      <c r="C3" s="125"/>
      <c r="D3" s="98">
        <v>0.06824067103196</v>
      </c>
      <c r="E3" s="125"/>
      <c r="F3" s="97">
        <f>SUM(F4:F20)</f>
        <v>1071129.79339</v>
      </c>
      <c r="G3" s="125"/>
      <c r="H3" s="98">
        <v>-0.02825837169395</v>
      </c>
      <c r="I3" s="125"/>
    </row>
    <row r="4" ht="27" customHeight="1" spans="1:9">
      <c r="A4" s="90" t="s">
        <v>127</v>
      </c>
      <c r="B4" s="97">
        <v>2410.3495</v>
      </c>
      <c r="C4" s="126">
        <f t="shared" ref="C4:C20" si="0">RANK(B4,B$4:B$20)</f>
        <v>5</v>
      </c>
      <c r="D4" s="98">
        <v>0.0529115751103517</v>
      </c>
      <c r="E4" s="126">
        <f t="shared" ref="E4:E20" si="1">RANK(D4,D$4:D$20)</f>
        <v>10</v>
      </c>
      <c r="F4" s="97">
        <v>133413.7375</v>
      </c>
      <c r="G4" s="126">
        <f t="shared" ref="G4:G20" si="2">RANK(F4,F$4:F$20)</f>
        <v>1</v>
      </c>
      <c r="H4" s="98">
        <v>0.0438932474234119</v>
      </c>
      <c r="I4" s="126">
        <f t="shared" ref="I4:I20" si="3">RANK(H4,H$4:H$20)</f>
        <v>2</v>
      </c>
    </row>
    <row r="5" ht="27" customHeight="1" spans="1:9">
      <c r="A5" s="90" t="s">
        <v>128</v>
      </c>
      <c r="B5" s="97">
        <v>1663.8827180541</v>
      </c>
      <c r="C5" s="126">
        <f t="shared" si="0"/>
        <v>9</v>
      </c>
      <c r="D5" s="98">
        <v>0.0908279519755608</v>
      </c>
      <c r="E5" s="126">
        <f t="shared" si="1"/>
        <v>6</v>
      </c>
      <c r="F5" s="97">
        <v>40243.4651412116</v>
      </c>
      <c r="G5" s="126">
        <f t="shared" si="2"/>
        <v>11</v>
      </c>
      <c r="H5" s="98">
        <v>-0.15699510278583</v>
      </c>
      <c r="I5" s="126">
        <f t="shared" si="3"/>
        <v>17</v>
      </c>
    </row>
    <row r="6" ht="27" customHeight="1" spans="1:9">
      <c r="A6" s="90" t="s">
        <v>129</v>
      </c>
      <c r="B6" s="97">
        <v>1345.78232998594</v>
      </c>
      <c r="C6" s="126">
        <f t="shared" si="0"/>
        <v>10</v>
      </c>
      <c r="D6" s="98">
        <v>0.0148732970948773</v>
      </c>
      <c r="E6" s="126">
        <f t="shared" si="1"/>
        <v>13</v>
      </c>
      <c r="F6" s="97">
        <v>59479.3427503566</v>
      </c>
      <c r="G6" s="126">
        <f t="shared" si="2"/>
        <v>8</v>
      </c>
      <c r="H6" s="98">
        <v>-0.100393654202881</v>
      </c>
      <c r="I6" s="126">
        <f t="shared" si="3"/>
        <v>14</v>
      </c>
    </row>
    <row r="7" ht="27" customHeight="1" spans="1:9">
      <c r="A7" s="90" t="s">
        <v>130</v>
      </c>
      <c r="B7" s="97">
        <v>2429.66108839789</v>
      </c>
      <c r="C7" s="126">
        <f t="shared" si="0"/>
        <v>4</v>
      </c>
      <c r="D7" s="98">
        <v>-0.168757388751993</v>
      </c>
      <c r="E7" s="126">
        <f t="shared" si="1"/>
        <v>16</v>
      </c>
      <c r="F7" s="97">
        <v>128149.604436862</v>
      </c>
      <c r="G7" s="126">
        <f t="shared" si="2"/>
        <v>2</v>
      </c>
      <c r="H7" s="98">
        <v>-0.0270858186385627</v>
      </c>
      <c r="I7" s="126">
        <f t="shared" si="3"/>
        <v>6</v>
      </c>
    </row>
    <row r="8" ht="27" customHeight="1" spans="1:9">
      <c r="A8" s="90" t="s">
        <v>131</v>
      </c>
      <c r="B8" s="97">
        <v>2893.11133611304</v>
      </c>
      <c r="C8" s="126">
        <f t="shared" si="0"/>
        <v>2</v>
      </c>
      <c r="D8" s="98">
        <v>0.0757715909744756</v>
      </c>
      <c r="E8" s="126">
        <f t="shared" si="1"/>
        <v>8</v>
      </c>
      <c r="F8" s="97">
        <v>126445.05955728</v>
      </c>
      <c r="G8" s="126">
        <f t="shared" si="2"/>
        <v>3</v>
      </c>
      <c r="H8" s="98">
        <v>-0.0123984208041997</v>
      </c>
      <c r="I8" s="126">
        <f t="shared" si="3"/>
        <v>5</v>
      </c>
    </row>
    <row r="9" ht="27" customHeight="1" spans="1:9">
      <c r="A9" s="90" t="s">
        <v>132</v>
      </c>
      <c r="B9" s="97">
        <v>520.931539474449</v>
      </c>
      <c r="C9" s="126">
        <f t="shared" si="0"/>
        <v>15</v>
      </c>
      <c r="D9" s="98">
        <v>0.0203164636662752</v>
      </c>
      <c r="E9" s="126">
        <f t="shared" si="1"/>
        <v>11</v>
      </c>
      <c r="F9" s="97">
        <v>18477.3435283468</v>
      </c>
      <c r="G9" s="126">
        <f t="shared" si="2"/>
        <v>14</v>
      </c>
      <c r="H9" s="98">
        <v>-0.0333610782738084</v>
      </c>
      <c r="I9" s="126">
        <f t="shared" si="3"/>
        <v>7</v>
      </c>
    </row>
    <row r="10" ht="27" customHeight="1" spans="1:9">
      <c r="A10" s="90" t="s">
        <v>133</v>
      </c>
      <c r="B10" s="97">
        <v>680.102106315712</v>
      </c>
      <c r="C10" s="126">
        <f t="shared" si="0"/>
        <v>14</v>
      </c>
      <c r="D10" s="98">
        <v>0.0166546529276086</v>
      </c>
      <c r="E10" s="126">
        <f t="shared" si="1"/>
        <v>12</v>
      </c>
      <c r="F10" s="97">
        <v>26471.5280253139</v>
      </c>
      <c r="G10" s="126">
        <f t="shared" si="2"/>
        <v>12</v>
      </c>
      <c r="H10" s="98">
        <v>-0.151716028984139</v>
      </c>
      <c r="I10" s="126">
        <f t="shared" si="3"/>
        <v>16</v>
      </c>
    </row>
    <row r="11" ht="27" customHeight="1" spans="1:9">
      <c r="A11" s="90" t="s">
        <v>134</v>
      </c>
      <c r="B11" s="97">
        <v>2347.41563623669</v>
      </c>
      <c r="C11" s="126">
        <f t="shared" si="0"/>
        <v>6</v>
      </c>
      <c r="D11" s="98">
        <v>0.0651290497368613</v>
      </c>
      <c r="E11" s="126">
        <f t="shared" si="1"/>
        <v>9</v>
      </c>
      <c r="F11" s="97">
        <v>56283.780060606</v>
      </c>
      <c r="G11" s="126">
        <f t="shared" si="2"/>
        <v>9</v>
      </c>
      <c r="H11" s="98">
        <v>0.0192689108806501</v>
      </c>
      <c r="I11" s="126">
        <f t="shared" si="3"/>
        <v>3</v>
      </c>
    </row>
    <row r="12" ht="27" customHeight="1" spans="1:9">
      <c r="A12" s="90" t="s">
        <v>135</v>
      </c>
      <c r="B12" s="97">
        <v>2051.10082421163</v>
      </c>
      <c r="C12" s="126">
        <f t="shared" si="0"/>
        <v>8</v>
      </c>
      <c r="D12" s="98">
        <v>0.489278678717789</v>
      </c>
      <c r="E12" s="126">
        <f t="shared" si="1"/>
        <v>1</v>
      </c>
      <c r="F12" s="97">
        <v>80353.897815375</v>
      </c>
      <c r="G12" s="126">
        <f t="shared" si="2"/>
        <v>6</v>
      </c>
      <c r="H12" s="98">
        <v>-0.0692606889429422</v>
      </c>
      <c r="I12" s="126">
        <f t="shared" si="3"/>
        <v>12</v>
      </c>
    </row>
    <row r="13" ht="27" customHeight="1" spans="1:9">
      <c r="A13" s="90" t="s">
        <v>136</v>
      </c>
      <c r="B13" s="97">
        <v>3054.50920465931</v>
      </c>
      <c r="C13" s="126">
        <f t="shared" si="0"/>
        <v>1</v>
      </c>
      <c r="D13" s="98">
        <v>0.0858637940027545</v>
      </c>
      <c r="E13" s="126">
        <f t="shared" si="1"/>
        <v>7</v>
      </c>
      <c r="F13" s="97">
        <v>106527.99104954</v>
      </c>
      <c r="G13" s="126">
        <f t="shared" si="2"/>
        <v>5</v>
      </c>
      <c r="H13" s="98">
        <v>0.0143141470375461</v>
      </c>
      <c r="I13" s="126">
        <f t="shared" si="3"/>
        <v>4</v>
      </c>
    </row>
    <row r="14" ht="27" customHeight="1" spans="1:9">
      <c r="A14" s="90" t="s">
        <v>137</v>
      </c>
      <c r="B14" s="97">
        <v>2193.37153082343</v>
      </c>
      <c r="C14" s="126">
        <f t="shared" si="0"/>
        <v>7</v>
      </c>
      <c r="D14" s="98">
        <v>0.17672155294872</v>
      </c>
      <c r="E14" s="126">
        <f t="shared" si="1"/>
        <v>2</v>
      </c>
      <c r="F14" s="97">
        <v>78237.9360492521</v>
      </c>
      <c r="G14" s="126">
        <f t="shared" si="2"/>
        <v>7</v>
      </c>
      <c r="H14" s="98">
        <v>-0.0697369529982301</v>
      </c>
      <c r="I14" s="126">
        <f t="shared" si="3"/>
        <v>13</v>
      </c>
    </row>
    <row r="15" ht="27" customHeight="1" spans="1:9">
      <c r="A15" s="90" t="s">
        <v>138</v>
      </c>
      <c r="B15" s="97">
        <v>1204.20388534652</v>
      </c>
      <c r="C15" s="126">
        <f t="shared" si="0"/>
        <v>11</v>
      </c>
      <c r="D15" s="98">
        <v>-0.0242603009012318</v>
      </c>
      <c r="E15" s="126">
        <f t="shared" si="1"/>
        <v>14</v>
      </c>
      <c r="F15" s="97">
        <v>51901.3513922962</v>
      </c>
      <c r="G15" s="126">
        <f t="shared" si="2"/>
        <v>10</v>
      </c>
      <c r="H15" s="98">
        <v>-0.0371228123584555</v>
      </c>
      <c r="I15" s="126">
        <f t="shared" si="3"/>
        <v>9</v>
      </c>
    </row>
    <row r="16" ht="27" customHeight="1" spans="1:9">
      <c r="A16" s="90" t="s">
        <v>147</v>
      </c>
      <c r="B16" s="97">
        <v>2567.97310973304</v>
      </c>
      <c r="C16" s="126">
        <f t="shared" si="0"/>
        <v>3</v>
      </c>
      <c r="D16" s="98">
        <v>0.143814134548192</v>
      </c>
      <c r="E16" s="126">
        <f t="shared" si="1"/>
        <v>4</v>
      </c>
      <c r="F16" s="97">
        <v>117859.147311167</v>
      </c>
      <c r="G16" s="126">
        <f t="shared" si="2"/>
        <v>4</v>
      </c>
      <c r="H16" s="98">
        <v>-0.0345205860480344</v>
      </c>
      <c r="I16" s="126">
        <f t="shared" si="3"/>
        <v>8</v>
      </c>
    </row>
    <row r="17" ht="27" customHeight="1" spans="1:9">
      <c r="A17" s="90" t="s">
        <v>107</v>
      </c>
      <c r="B17" s="97">
        <v>355.803869113865</v>
      </c>
      <c r="C17" s="126">
        <f t="shared" si="0"/>
        <v>16</v>
      </c>
      <c r="D17" s="98">
        <v>0.175007935499691</v>
      </c>
      <c r="E17" s="126">
        <f t="shared" si="1"/>
        <v>3</v>
      </c>
      <c r="F17" s="97">
        <v>6871.03096465171</v>
      </c>
      <c r="G17" s="126">
        <f t="shared" si="2"/>
        <v>16</v>
      </c>
      <c r="H17" s="98">
        <v>-0.0568798598836232</v>
      </c>
      <c r="I17" s="126">
        <f t="shared" si="3"/>
        <v>11</v>
      </c>
    </row>
    <row r="18" ht="27" customHeight="1" spans="1:9">
      <c r="A18" s="90" t="s">
        <v>109</v>
      </c>
      <c r="B18" s="97">
        <v>1026.53831654167</v>
      </c>
      <c r="C18" s="126">
        <f t="shared" si="0"/>
        <v>12</v>
      </c>
      <c r="D18" s="98">
        <v>-0.0259366872743449</v>
      </c>
      <c r="E18" s="126">
        <f t="shared" si="1"/>
        <v>15</v>
      </c>
      <c r="F18" s="97">
        <v>16243.6789257339</v>
      </c>
      <c r="G18" s="126">
        <f t="shared" si="2"/>
        <v>15</v>
      </c>
      <c r="H18" s="98">
        <v>-0.0436403003392386</v>
      </c>
      <c r="I18" s="126">
        <f t="shared" si="3"/>
        <v>10</v>
      </c>
    </row>
    <row r="19" ht="27" customHeight="1" spans="1:9">
      <c r="A19" s="90" t="s">
        <v>111</v>
      </c>
      <c r="B19" s="97">
        <v>712.317753245023</v>
      </c>
      <c r="C19" s="126">
        <f t="shared" si="0"/>
        <v>13</v>
      </c>
      <c r="D19" s="98">
        <v>0.0922676310413213</v>
      </c>
      <c r="E19" s="126">
        <f t="shared" si="1"/>
        <v>5</v>
      </c>
      <c r="F19" s="97">
        <v>21811.614853815</v>
      </c>
      <c r="G19" s="126">
        <f t="shared" si="2"/>
        <v>13</v>
      </c>
      <c r="H19" s="98">
        <v>0.292189941171734</v>
      </c>
      <c r="I19" s="126">
        <f t="shared" si="3"/>
        <v>1</v>
      </c>
    </row>
    <row r="20" ht="27" customHeight="1" spans="1:9">
      <c r="A20" s="90" t="s">
        <v>112</v>
      </c>
      <c r="B20" s="97">
        <v>67.4358517476851</v>
      </c>
      <c r="C20" s="126">
        <f t="shared" si="0"/>
        <v>17</v>
      </c>
      <c r="D20" s="98">
        <v>-0.230601770329876</v>
      </c>
      <c r="E20" s="126">
        <f t="shared" si="1"/>
        <v>17</v>
      </c>
      <c r="F20" s="97">
        <v>2359.28402819315</v>
      </c>
      <c r="G20" s="126">
        <f t="shared" si="2"/>
        <v>17</v>
      </c>
      <c r="H20" s="98">
        <v>-0.139621688525806</v>
      </c>
      <c r="I20" s="126">
        <f t="shared" si="3"/>
        <v>15</v>
      </c>
    </row>
    <row r="21" ht="38" customHeight="1" spans="1:9">
      <c r="A21" s="122" t="s">
        <v>309</v>
      </c>
      <c r="B21" s="123"/>
      <c r="C21" s="123"/>
      <c r="D21" s="123"/>
      <c r="E21" s="123"/>
      <c r="F21" s="123"/>
      <c r="G21" s="123"/>
      <c r="H21" s="123"/>
      <c r="I21" s="123"/>
    </row>
    <row r="22" s="121" customFormat="1" ht="39" customHeight="1" spans="1:9">
      <c r="A22" s="124" t="s">
        <v>114</v>
      </c>
      <c r="B22" s="124" t="s">
        <v>306</v>
      </c>
      <c r="C22" s="124" t="s">
        <v>123</v>
      </c>
      <c r="D22" s="124" t="s">
        <v>307</v>
      </c>
      <c r="E22" s="124" t="s">
        <v>126</v>
      </c>
      <c r="F22" s="124" t="s">
        <v>308</v>
      </c>
      <c r="G22" s="124" t="s">
        <v>123</v>
      </c>
      <c r="H22" s="124" t="s">
        <v>307</v>
      </c>
      <c r="I22" s="124" t="s">
        <v>126</v>
      </c>
    </row>
    <row r="23" ht="27" customHeight="1" spans="1:9">
      <c r="A23" s="90" t="s">
        <v>80</v>
      </c>
      <c r="B23" s="97">
        <f>SUM(B24:B40)</f>
        <v>4028.3213</v>
      </c>
      <c r="C23" s="125"/>
      <c r="D23" s="98">
        <v>0.0162242857172765</v>
      </c>
      <c r="E23" s="125"/>
      <c r="F23" s="97">
        <f>SUM(F24:F40)</f>
        <v>154070.59412</v>
      </c>
      <c r="G23" s="125"/>
      <c r="H23" s="98">
        <v>-0.0210332677677018</v>
      </c>
      <c r="I23" s="125"/>
    </row>
    <row r="24" ht="27" customHeight="1" spans="1:9">
      <c r="A24" s="90" t="s">
        <v>127</v>
      </c>
      <c r="B24" s="97">
        <v>366.827</v>
      </c>
      <c r="C24" s="126">
        <v>5</v>
      </c>
      <c r="D24" s="98">
        <v>-0.00823874489252163</v>
      </c>
      <c r="E24" s="126">
        <v>10</v>
      </c>
      <c r="F24" s="97">
        <v>19940.4276</v>
      </c>
      <c r="G24" s="126">
        <v>2</v>
      </c>
      <c r="H24" s="98">
        <v>0.0237284434635734</v>
      </c>
      <c r="I24" s="126">
        <v>5</v>
      </c>
    </row>
    <row r="25" ht="27" customHeight="1" spans="1:9">
      <c r="A25" s="90" t="s">
        <v>128</v>
      </c>
      <c r="B25" s="97">
        <v>251.185512772618</v>
      </c>
      <c r="C25" s="126">
        <v>9</v>
      </c>
      <c r="D25" s="98">
        <v>0.104001562098662</v>
      </c>
      <c r="E25" s="126">
        <v>5</v>
      </c>
      <c r="F25" s="97">
        <v>5586.20050054893</v>
      </c>
      <c r="G25" s="126">
        <v>11</v>
      </c>
      <c r="H25" s="98">
        <v>-0.110061705051652</v>
      </c>
      <c r="I25" s="126">
        <v>14</v>
      </c>
    </row>
    <row r="26" ht="27" customHeight="1" spans="1:9">
      <c r="A26" s="90" t="s">
        <v>129</v>
      </c>
      <c r="B26" s="97">
        <v>191.620753146307</v>
      </c>
      <c r="C26" s="126">
        <v>10</v>
      </c>
      <c r="D26" s="98">
        <v>0.0819330581203297</v>
      </c>
      <c r="E26" s="126">
        <v>6</v>
      </c>
      <c r="F26" s="97">
        <v>8247.59001325919</v>
      </c>
      <c r="G26" s="126">
        <v>9</v>
      </c>
      <c r="H26" s="98">
        <v>-0.023021183430168</v>
      </c>
      <c r="I26" s="126">
        <v>8</v>
      </c>
    </row>
    <row r="27" ht="27" customHeight="1" spans="1:9">
      <c r="A27" s="90" t="s">
        <v>130</v>
      </c>
      <c r="B27" s="97">
        <v>388.710798468007</v>
      </c>
      <c r="C27" s="126">
        <v>4</v>
      </c>
      <c r="D27" s="98">
        <v>-0.113498265377812</v>
      </c>
      <c r="E27" s="126">
        <v>15</v>
      </c>
      <c r="F27" s="97">
        <v>20527.3525653711</v>
      </c>
      <c r="G27" s="126">
        <v>1</v>
      </c>
      <c r="H27" s="98">
        <v>0.0621052870209335</v>
      </c>
      <c r="I27" s="126">
        <v>3</v>
      </c>
    </row>
    <row r="28" ht="27" customHeight="1" spans="1:9">
      <c r="A28" s="90" t="s">
        <v>131</v>
      </c>
      <c r="B28" s="97">
        <v>400.857410448073</v>
      </c>
      <c r="C28" s="126">
        <v>3</v>
      </c>
      <c r="D28" s="98">
        <v>-0.0629049828435946</v>
      </c>
      <c r="E28" s="126">
        <v>13</v>
      </c>
      <c r="F28" s="97">
        <v>16942.9694898181</v>
      </c>
      <c r="G28" s="126">
        <v>4</v>
      </c>
      <c r="H28" s="98">
        <v>-0.0635163977212225</v>
      </c>
      <c r="I28" s="126">
        <v>11</v>
      </c>
    </row>
    <row r="29" ht="27" customHeight="1" spans="1:9">
      <c r="A29" s="90" t="s">
        <v>132</v>
      </c>
      <c r="B29" s="97">
        <v>65.5294100291266</v>
      </c>
      <c r="C29" s="126">
        <v>15</v>
      </c>
      <c r="D29" s="98">
        <v>-0.133183041663628</v>
      </c>
      <c r="E29" s="126">
        <v>16</v>
      </c>
      <c r="F29" s="97">
        <v>2526.25725945879</v>
      </c>
      <c r="G29" s="126">
        <v>14</v>
      </c>
      <c r="H29" s="98">
        <v>-0.0261140783105948</v>
      </c>
      <c r="I29" s="126">
        <v>9</v>
      </c>
    </row>
    <row r="30" ht="27" customHeight="1" spans="1:9">
      <c r="A30" s="90" t="s">
        <v>133</v>
      </c>
      <c r="B30" s="97">
        <v>90.5951205189489</v>
      </c>
      <c r="C30" s="126">
        <v>14</v>
      </c>
      <c r="D30" s="98">
        <v>-0.0427475360246817</v>
      </c>
      <c r="E30" s="126">
        <v>12</v>
      </c>
      <c r="F30" s="97">
        <v>3574.24831486366</v>
      </c>
      <c r="G30" s="126">
        <v>12</v>
      </c>
      <c r="H30" s="98">
        <v>-0.170115804152315</v>
      </c>
      <c r="I30" s="126">
        <v>16</v>
      </c>
    </row>
    <row r="31" ht="27" customHeight="1" spans="1:9">
      <c r="A31" s="90" t="s">
        <v>134</v>
      </c>
      <c r="B31" s="97">
        <v>348.336386465873</v>
      </c>
      <c r="C31" s="126">
        <v>6</v>
      </c>
      <c r="D31" s="98">
        <v>0.0634727829028336</v>
      </c>
      <c r="E31" s="126">
        <v>7</v>
      </c>
      <c r="F31" s="97">
        <v>8358.7056873601</v>
      </c>
      <c r="G31" s="126">
        <v>8</v>
      </c>
      <c r="H31" s="98">
        <v>0.0528320568820211</v>
      </c>
      <c r="I31" s="126">
        <v>4</v>
      </c>
    </row>
    <row r="32" ht="27" customHeight="1" spans="1:9">
      <c r="A32" s="90" t="s">
        <v>135</v>
      </c>
      <c r="B32" s="97">
        <v>287.421598697666</v>
      </c>
      <c r="C32" s="126">
        <v>8</v>
      </c>
      <c r="D32" s="98">
        <v>-0.00479587393757175</v>
      </c>
      <c r="E32" s="126">
        <v>9</v>
      </c>
      <c r="F32" s="97">
        <v>11042.9948077432</v>
      </c>
      <c r="G32" s="126">
        <v>6</v>
      </c>
      <c r="H32" s="98">
        <v>-0.125731509331899</v>
      </c>
      <c r="I32" s="126">
        <v>15</v>
      </c>
    </row>
    <row r="33" ht="27" customHeight="1" spans="1:9">
      <c r="A33" s="90" t="s">
        <v>136</v>
      </c>
      <c r="B33" s="97">
        <v>424.528134981912</v>
      </c>
      <c r="C33" s="126">
        <v>1</v>
      </c>
      <c r="D33" s="98">
        <v>0.0335548794539253</v>
      </c>
      <c r="E33" s="126">
        <v>8</v>
      </c>
      <c r="F33" s="97">
        <v>14680.5825888079</v>
      </c>
      <c r="G33" s="126">
        <v>5</v>
      </c>
      <c r="H33" s="98">
        <v>0.0223134078993823</v>
      </c>
      <c r="I33" s="126">
        <v>6</v>
      </c>
    </row>
    <row r="34" ht="27" customHeight="1" spans="1:9">
      <c r="A34" s="90" t="s">
        <v>137</v>
      </c>
      <c r="B34" s="97">
        <v>303.725769149232</v>
      </c>
      <c r="C34" s="126">
        <v>7</v>
      </c>
      <c r="D34" s="98">
        <v>0.213314253172306</v>
      </c>
      <c r="E34" s="126">
        <v>1</v>
      </c>
      <c r="F34" s="97">
        <v>10111.3401669814</v>
      </c>
      <c r="G34" s="126">
        <v>7</v>
      </c>
      <c r="H34" s="98">
        <v>0.00761768551284581</v>
      </c>
      <c r="I34" s="126">
        <v>7</v>
      </c>
    </row>
    <row r="35" ht="27" customHeight="1" spans="1:9">
      <c r="A35" s="90" t="s">
        <v>138</v>
      </c>
      <c r="B35" s="97">
        <v>167.474547376869</v>
      </c>
      <c r="C35" s="126">
        <v>11</v>
      </c>
      <c r="D35" s="98">
        <v>-0.0094722051044106</v>
      </c>
      <c r="E35" s="126">
        <v>11</v>
      </c>
      <c r="F35" s="97">
        <v>7250.78987027164</v>
      </c>
      <c r="G35" s="126">
        <v>10</v>
      </c>
      <c r="H35" s="98">
        <v>-0.0349132721002835</v>
      </c>
      <c r="I35" s="126">
        <v>10</v>
      </c>
    </row>
    <row r="36" ht="27" customHeight="1" spans="1:9">
      <c r="A36" s="90" t="s">
        <v>147</v>
      </c>
      <c r="B36" s="97">
        <v>422.436057885001</v>
      </c>
      <c r="C36" s="126">
        <v>2</v>
      </c>
      <c r="D36" s="98">
        <v>0.121704699233526</v>
      </c>
      <c r="E36" s="126">
        <v>4</v>
      </c>
      <c r="F36" s="97">
        <v>18311.9874752134</v>
      </c>
      <c r="G36" s="126">
        <v>3</v>
      </c>
      <c r="H36" s="98">
        <v>-0.0694119644892559</v>
      </c>
      <c r="I36" s="126">
        <v>12</v>
      </c>
    </row>
    <row r="37" ht="27" customHeight="1" spans="1:9">
      <c r="A37" s="90" t="s">
        <v>107</v>
      </c>
      <c r="B37" s="97">
        <v>51.9445272935033</v>
      </c>
      <c r="C37" s="126">
        <v>16</v>
      </c>
      <c r="D37" s="98">
        <v>0.159254057664732</v>
      </c>
      <c r="E37" s="126">
        <v>2</v>
      </c>
      <c r="F37" s="97">
        <v>1029.5871288222</v>
      </c>
      <c r="G37" s="126">
        <v>16</v>
      </c>
      <c r="H37" s="98">
        <v>0.219093347380379</v>
      </c>
      <c r="I37" s="126">
        <v>2</v>
      </c>
    </row>
    <row r="38" ht="27" customHeight="1" spans="1:9">
      <c r="A38" s="90" t="s">
        <v>109</v>
      </c>
      <c r="B38" s="97">
        <v>160.559326438665</v>
      </c>
      <c r="C38" s="126">
        <v>12</v>
      </c>
      <c r="D38" s="98">
        <v>-0.0816269442964458</v>
      </c>
      <c r="E38" s="126">
        <v>14</v>
      </c>
      <c r="F38" s="97">
        <v>2471.53920658563</v>
      </c>
      <c r="G38" s="126">
        <v>15</v>
      </c>
      <c r="H38" s="98">
        <v>-0.0990865066931894</v>
      </c>
      <c r="I38" s="126">
        <v>13</v>
      </c>
    </row>
    <row r="39" ht="27" customHeight="1" spans="1:9">
      <c r="A39" s="90" t="s">
        <v>111</v>
      </c>
      <c r="B39" s="97">
        <v>98.4095249978276</v>
      </c>
      <c r="C39" s="126">
        <v>13</v>
      </c>
      <c r="D39" s="98">
        <v>0.141497552855017</v>
      </c>
      <c r="E39" s="126">
        <v>3</v>
      </c>
      <c r="F39" s="97">
        <v>3175.13710000367</v>
      </c>
      <c r="G39" s="126">
        <v>13</v>
      </c>
      <c r="H39" s="98">
        <v>0.296571321971043</v>
      </c>
      <c r="I39" s="126">
        <v>1</v>
      </c>
    </row>
    <row r="40" ht="27" customHeight="1" spans="1:9">
      <c r="A40" s="90" t="s">
        <v>112</v>
      </c>
      <c r="B40" s="97">
        <v>8.15942133037006</v>
      </c>
      <c r="C40" s="126">
        <v>17</v>
      </c>
      <c r="D40" s="98">
        <v>-0.660960439988817</v>
      </c>
      <c r="E40" s="126">
        <v>17</v>
      </c>
      <c r="F40" s="97">
        <v>292.884344890928</v>
      </c>
      <c r="G40" s="126">
        <v>17</v>
      </c>
      <c r="H40" s="98">
        <v>-0.563064608932509</v>
      </c>
      <c r="I40" s="126">
        <v>17</v>
      </c>
    </row>
  </sheetData>
  <mergeCells count="2">
    <mergeCell ref="A1:I1"/>
    <mergeCell ref="A21:I21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F14" sqref="F14"/>
    </sheetView>
  </sheetViews>
  <sheetFormatPr defaultColWidth="8.88888888888889" defaultRowHeight="14.4" outlineLevelCol="7"/>
  <cols>
    <col min="1" max="1" width="18" style="16" customWidth="1"/>
    <col min="2" max="2" width="12" style="16" customWidth="1"/>
    <col min="3" max="3" width="8.66666666666667" style="16" customWidth="1"/>
    <col min="4" max="4" width="16" style="16" customWidth="1"/>
    <col min="5" max="5" width="22.1111111111111" style="16" customWidth="1"/>
    <col min="6" max="6" width="12" style="16" customWidth="1"/>
    <col min="7" max="7" width="8.66666666666667" style="16" customWidth="1"/>
    <col min="8" max="8" width="11.3333333333333" style="16" customWidth="1"/>
  </cols>
  <sheetData>
    <row r="1" ht="40.05" customHeight="1" spans="1:8">
      <c r="A1" s="114" t="s">
        <v>310</v>
      </c>
    </row>
    <row r="2" ht="36" customHeight="1" spans="1:8">
      <c r="A2" s="115" t="s">
        <v>241</v>
      </c>
      <c r="B2" s="116" t="s">
        <v>311</v>
      </c>
      <c r="C2" s="115" t="s">
        <v>12</v>
      </c>
      <c r="D2" s="115" t="s">
        <v>312</v>
      </c>
      <c r="E2" s="117" t="s">
        <v>313</v>
      </c>
      <c r="F2" s="116" t="s">
        <v>11</v>
      </c>
      <c r="G2" s="115" t="s">
        <v>12</v>
      </c>
      <c r="H2" s="115" t="s">
        <v>314</v>
      </c>
    </row>
    <row r="3" ht="30" customHeight="1" spans="1:8">
      <c r="A3" s="118" t="s">
        <v>233</v>
      </c>
      <c r="B3" s="35">
        <v>27524.4906</v>
      </c>
      <c r="C3" s="36">
        <v>0.0682406710319587</v>
      </c>
      <c r="D3" s="36"/>
      <c r="E3" s="118" t="s">
        <v>315</v>
      </c>
      <c r="F3" s="35">
        <v>1071129.79339</v>
      </c>
      <c r="G3" s="36">
        <v>-0.0282583716939536</v>
      </c>
      <c r="H3" s="119"/>
    </row>
    <row r="4" ht="28.05" customHeight="1" spans="1:8">
      <c r="A4" s="120" t="s">
        <v>316</v>
      </c>
      <c r="B4" s="35">
        <v>11204.5406</v>
      </c>
      <c r="C4" s="36">
        <v>-0.0865611899554036</v>
      </c>
      <c r="D4" s="36">
        <f>B4/B$3</f>
        <v>0.407075312049553</v>
      </c>
      <c r="E4" s="120" t="s">
        <v>316</v>
      </c>
      <c r="F4" s="35">
        <v>787874.24339</v>
      </c>
      <c r="G4" s="36">
        <v>-0.0186437896620976</v>
      </c>
      <c r="H4" s="36">
        <f>F4/F$3</f>
        <v>0.73555441016767</v>
      </c>
    </row>
    <row r="5" ht="33" customHeight="1" spans="1:8">
      <c r="A5" s="120" t="s">
        <v>317</v>
      </c>
      <c r="B5" s="35">
        <v>10194.09</v>
      </c>
      <c r="C5" s="36">
        <v>0.141725475350752</v>
      </c>
      <c r="D5" s="36">
        <f>B5/B$3</f>
        <v>0.370364347451357</v>
      </c>
      <c r="E5" s="120" t="s">
        <v>317</v>
      </c>
      <c r="F5" s="35">
        <v>199896.09</v>
      </c>
      <c r="G5" s="36">
        <v>-0.110659758773642</v>
      </c>
      <c r="H5" s="36">
        <f>F5/F$3</f>
        <v>0.186621725241488</v>
      </c>
    </row>
    <row r="6" ht="30" customHeight="1" spans="1:8">
      <c r="A6" s="120" t="s">
        <v>318</v>
      </c>
      <c r="B6" s="35">
        <v>3640.95</v>
      </c>
      <c r="C6" s="36">
        <v>0.135745434808377</v>
      </c>
      <c r="D6" s="36">
        <f>B6/B$3</f>
        <v>0.132280377243385</v>
      </c>
      <c r="E6" s="120" t="s">
        <v>318</v>
      </c>
      <c r="F6" s="35">
        <v>49554.85</v>
      </c>
      <c r="G6" s="36">
        <v>-0.0562007446428205</v>
      </c>
      <c r="H6" s="36">
        <f>F6/F$3</f>
        <v>0.0462640945157213</v>
      </c>
    </row>
    <row r="7" ht="36" customHeight="1" spans="1:8">
      <c r="A7" s="120" t="s">
        <v>319</v>
      </c>
      <c r="B7" s="35">
        <v>2484.91</v>
      </c>
      <c r="C7" s="36">
        <v>0.819900249741836</v>
      </c>
      <c r="D7" s="36">
        <f>B7/B$3</f>
        <v>0.0902799632557051</v>
      </c>
      <c r="E7" s="120" t="s">
        <v>319</v>
      </c>
      <c r="F7" s="35">
        <v>33804.61</v>
      </c>
      <c r="G7" s="36">
        <v>0.525379668469197</v>
      </c>
      <c r="H7" s="36">
        <f>F7/F$3</f>
        <v>0.0315597700751208</v>
      </c>
    </row>
    <row r="10" ht="40.05" customHeight="1" spans="1:8">
      <c r="A10" s="114" t="s">
        <v>320</v>
      </c>
    </row>
    <row r="11" ht="36" customHeight="1" spans="1:8">
      <c r="A11" s="115" t="s">
        <v>241</v>
      </c>
      <c r="B11" s="116" t="s">
        <v>306</v>
      </c>
      <c r="C11" s="115" t="s">
        <v>12</v>
      </c>
      <c r="D11" s="115" t="s">
        <v>312</v>
      </c>
      <c r="E11" s="117" t="s">
        <v>313</v>
      </c>
      <c r="F11" s="116" t="s">
        <v>308</v>
      </c>
      <c r="G11" s="115" t="s">
        <v>12</v>
      </c>
      <c r="H11" s="115" t="s">
        <v>314</v>
      </c>
    </row>
    <row r="12" ht="30" customHeight="1" spans="1:8">
      <c r="A12" s="118" t="s">
        <v>233</v>
      </c>
      <c r="B12" s="35">
        <v>4028.3213</v>
      </c>
      <c r="C12" s="36">
        <v>0.0162242857172765</v>
      </c>
      <c r="D12" s="36"/>
      <c r="E12" s="118" t="s">
        <v>315</v>
      </c>
      <c r="F12" s="35">
        <v>154070.59412</v>
      </c>
      <c r="G12" s="36">
        <v>-0.0210332677677018</v>
      </c>
      <c r="H12" s="119"/>
    </row>
    <row r="13" ht="28.05" customHeight="1" spans="1:8">
      <c r="A13" s="120" t="s">
        <v>316</v>
      </c>
      <c r="B13" s="35">
        <v>1631.2013</v>
      </c>
      <c r="C13" s="36">
        <v>-0.0845658041040851</v>
      </c>
      <c r="D13" s="36">
        <f>B13/B$12</f>
        <v>0.404933265874299</v>
      </c>
      <c r="E13" s="120" t="s">
        <v>316</v>
      </c>
      <c r="F13" s="35">
        <v>113731.31412</v>
      </c>
      <c r="G13" s="36">
        <v>-0.0166566655530825</v>
      </c>
      <c r="H13" s="36">
        <f>F13/F$12</f>
        <v>0.738176644087053</v>
      </c>
    </row>
    <row r="14" ht="33" customHeight="1" spans="1:8">
      <c r="A14" s="120" t="s">
        <v>317</v>
      </c>
      <c r="B14" s="35">
        <v>1466.66</v>
      </c>
      <c r="C14" s="36">
        <v>0.0910700470154135</v>
      </c>
      <c r="D14" s="36">
        <f>B14/B$12</f>
        <v>0.364087144687292</v>
      </c>
      <c r="E14" s="120" t="s">
        <v>317</v>
      </c>
      <c r="F14" s="35">
        <v>27882.4</v>
      </c>
      <c r="G14" s="36">
        <v>-0.0794813317187129</v>
      </c>
      <c r="H14" s="36">
        <f>F14/F$12</f>
        <v>0.180971587467777</v>
      </c>
    </row>
    <row r="15" ht="30" customHeight="1" spans="1:8">
      <c r="A15" s="120" t="s">
        <v>318</v>
      </c>
      <c r="B15" s="35">
        <v>509</v>
      </c>
      <c r="C15" s="36">
        <v>-0.102071058109586</v>
      </c>
      <c r="D15" s="36">
        <f>B15/B$12</f>
        <v>0.126355362964717</v>
      </c>
      <c r="E15" s="120" t="s">
        <v>318</v>
      </c>
      <c r="F15" s="35">
        <v>6814.47</v>
      </c>
      <c r="G15" s="36">
        <v>-0.119006125419846</v>
      </c>
      <c r="H15" s="36">
        <f>F15/F$12</f>
        <v>0.0442295302288018</v>
      </c>
    </row>
    <row r="16" ht="36" customHeight="1" spans="1:8">
      <c r="A16" s="120" t="s">
        <v>319</v>
      </c>
      <c r="B16" s="35">
        <v>421.46</v>
      </c>
      <c r="C16" s="36">
        <v>0.555088185373771</v>
      </c>
      <c r="D16" s="36">
        <f>B16/B$12</f>
        <v>0.104624226473693</v>
      </c>
      <c r="E16" s="120" t="s">
        <v>319</v>
      </c>
      <c r="F16" s="35">
        <v>5642.40999999999</v>
      </c>
      <c r="G16" s="36">
        <v>0.525726168006965</v>
      </c>
      <c r="H16" s="36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88888888889" style="16" customWidth="1"/>
    <col min="10" max="10" width="11.4444444444444" style="16" customWidth="1"/>
    <col min="11" max="11" width="11.8888888888889" style="16" customWidth="1"/>
    <col min="12" max="12" width="12" style="16" customWidth="1"/>
    <col min="13" max="13" width="11" style="16" customWidth="1"/>
  </cols>
  <sheetData>
    <row r="1" ht="20.4" customHeight="1" spans="1:13">
      <c r="A1" s="95" t="s">
        <v>228</v>
      </c>
    </row>
    <row r="2" ht="54" customHeight="1" spans="1:13">
      <c r="A2" s="82" t="s">
        <v>230</v>
      </c>
      <c r="B2" s="79" t="s">
        <v>231</v>
      </c>
      <c r="C2" s="82" t="s">
        <v>12</v>
      </c>
      <c r="D2" s="79" t="s">
        <v>232</v>
      </c>
      <c r="E2" s="82" t="s">
        <v>12</v>
      </c>
    </row>
    <row r="3" ht="40.95" customHeight="1" spans="1:13">
      <c r="A3" s="96" t="s">
        <v>233</v>
      </c>
      <c r="B3" s="97">
        <f>B4+B5+B8+B9</f>
        <v>406134.84</v>
      </c>
      <c r="C3" s="98">
        <v>-0.0656086938153265</v>
      </c>
      <c r="D3" s="97">
        <f>D4+D5+D8+D9</f>
        <v>1480329.84</v>
      </c>
      <c r="E3" s="98">
        <v>-0.0528583166553732</v>
      </c>
      <c r="G3" s="99">
        <f>G4+G6+G7+G8+G9</f>
        <v>406134.84</v>
      </c>
      <c r="H3" s="100">
        <f>G3/K3-1</f>
        <v>-0.0654587566481117</v>
      </c>
      <c r="I3" s="99">
        <f>I4+I6+I7+I8+I9</f>
        <v>2523638.75</v>
      </c>
      <c r="J3" s="100">
        <f>I3/L3-1</f>
        <v>-0.0527751636326798</v>
      </c>
      <c r="K3" s="99">
        <f>K4+K6+K7+K8+K9</f>
        <v>434582.04</v>
      </c>
      <c r="L3" s="99">
        <f>L4+L6+L7+L8+L9</f>
        <v>2664244.7</v>
      </c>
    </row>
    <row r="4" ht="39" customHeight="1" spans="1:13">
      <c r="A4" s="96" t="s">
        <v>234</v>
      </c>
      <c r="B4" s="97">
        <v>157305.77</v>
      </c>
      <c r="C4" s="98">
        <v>-0.102153029976829</v>
      </c>
      <c r="D4" s="97">
        <v>796652.14</v>
      </c>
      <c r="E4" s="98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96" t="s">
        <v>235</v>
      </c>
      <c r="B5" s="101">
        <f>B6+B7</f>
        <v>103446.69</v>
      </c>
      <c r="C5" s="102">
        <v>-0.0723136905053359</v>
      </c>
      <c r="D5" s="101">
        <f>SUM(D6:D7)</f>
        <v>534518.27</v>
      </c>
      <c r="E5" s="98">
        <v>-0.0702668634259139</v>
      </c>
      <c r="G5" s="99">
        <f>G6+G7</f>
        <v>103446.69</v>
      </c>
      <c r="H5" s="100">
        <f>G5/K5-1</f>
        <v>-0.0723136905053359</v>
      </c>
      <c r="I5" s="99">
        <f>I6+I7</f>
        <v>534518.27</v>
      </c>
      <c r="J5" s="100">
        <f>I5/L5-1</f>
        <v>-0.0702668634259139</v>
      </c>
      <c r="K5" s="99">
        <f>K6+K7</f>
        <v>111510.42</v>
      </c>
      <c r="L5" s="99">
        <f>L6+L7</f>
        <v>574915.8</v>
      </c>
    </row>
    <row r="6" ht="51" customHeight="1" spans="1:13">
      <c r="A6" s="96" t="s">
        <v>236</v>
      </c>
      <c r="B6" s="97">
        <v>71065.37</v>
      </c>
      <c r="C6" s="98">
        <v>-0.0912891313298707</v>
      </c>
      <c r="D6" s="97">
        <v>367362.56</v>
      </c>
      <c r="E6" s="98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96" t="s">
        <v>237</v>
      </c>
      <c r="B7" s="97">
        <v>32381.32</v>
      </c>
      <c r="C7" s="98">
        <v>-0.0277579113800526</v>
      </c>
      <c r="D7" s="97">
        <v>167155.71</v>
      </c>
      <c r="E7" s="98">
        <v>-0.0272562055035108</v>
      </c>
      <c r="G7" s="103">
        <v>32381.32</v>
      </c>
      <c r="H7" s="104">
        <v>-0.0277579113800526</v>
      </c>
      <c r="I7" s="103">
        <v>167155.71</v>
      </c>
      <c r="J7" s="104">
        <v>-0.0272562055035108</v>
      </c>
      <c r="K7" s="103">
        <v>33305.82</v>
      </c>
      <c r="L7" s="103">
        <v>171839.4</v>
      </c>
    </row>
    <row r="8" ht="39" customHeight="1" spans="1:13">
      <c r="A8" s="96" t="s">
        <v>238</v>
      </c>
      <c r="B8" s="97">
        <v>144824.79</v>
      </c>
      <c r="C8" s="98">
        <v>-0.0165609809130047</v>
      </c>
      <c r="D8" s="97">
        <v>147263.62</v>
      </c>
      <c r="E8" s="98">
        <v>-0.00897625526071066</v>
      </c>
      <c r="G8" s="99">
        <v>144824.79</v>
      </c>
      <c r="H8" s="104">
        <f>G8/K8-1</f>
        <v>-0.0165609809130047</v>
      </c>
      <c r="I8" s="99">
        <v>1190572.53</v>
      </c>
      <c r="J8" s="104">
        <f>I8/L8-1</f>
        <v>-0.00897625526071066</v>
      </c>
      <c r="K8" s="103">
        <v>147263.62</v>
      </c>
      <c r="L8" s="103">
        <v>1201356.21</v>
      </c>
    </row>
    <row r="9" ht="40.95" customHeight="1" spans="1:13">
      <c r="A9" s="90" t="s">
        <v>239</v>
      </c>
      <c r="B9" s="105">
        <v>557.59</v>
      </c>
      <c r="C9" s="98">
        <v>-0.0778759013031685</v>
      </c>
      <c r="D9" s="105">
        <v>1895.81</v>
      </c>
      <c r="E9" s="106">
        <v>-0.0778775438733025</v>
      </c>
      <c r="G9" s="103">
        <v>557.59</v>
      </c>
      <c r="H9" s="104">
        <f>G9/K9-1</f>
        <v>-0.0778759013031685</v>
      </c>
      <c r="I9" s="103">
        <v>1895.81</v>
      </c>
      <c r="J9" s="104">
        <f>I9/L9-1</f>
        <v>-0.0778775438733025</v>
      </c>
      <c r="K9" s="103">
        <v>604.68</v>
      </c>
      <c r="L9" s="103">
        <v>2055.92</v>
      </c>
    </row>
    <row r="10" spans="1:13">
      <c r="G10" s="107">
        <v>20630.5541</v>
      </c>
      <c r="I10" s="107">
        <v>1355848.188429</v>
      </c>
      <c r="K10" s="108">
        <v>18966.4671</v>
      </c>
      <c r="L10" s="109">
        <v>1278072.181784</v>
      </c>
    </row>
    <row r="13" spans="1:13">
      <c r="D13" s="110">
        <v>406134.84</v>
      </c>
      <c r="E13" s="110">
        <v>-7.2</v>
      </c>
      <c r="F13" s="110">
        <v>157305.77</v>
      </c>
      <c r="G13" s="110">
        <v>-10.2</v>
      </c>
      <c r="H13" s="110">
        <v>103446.69</v>
      </c>
      <c r="I13" s="110">
        <v>-9.6</v>
      </c>
      <c r="J13" s="110">
        <v>144824.79</v>
      </c>
      <c r="K13" s="111">
        <v>-1.7</v>
      </c>
      <c r="L13" s="112">
        <v>557.59</v>
      </c>
      <c r="M13" s="113">
        <v>-7.8</v>
      </c>
    </row>
    <row r="14" spans="1:13">
      <c r="K14" s="99">
        <v>1190572.53</v>
      </c>
    </row>
    <row r="15" spans="1:13">
      <c r="G15" s="99">
        <v>557.59</v>
      </c>
    </row>
    <row r="16" spans="1:13">
      <c r="G16" s="99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N7" sqref="N7"/>
    </sheetView>
  </sheetViews>
  <sheetFormatPr defaultColWidth="8.88888888888889" defaultRowHeight="15.6"/>
  <cols>
    <col min="1" max="1" width="7.44444444444444" style="16" customWidth="1"/>
    <col min="2" max="2" width="12" style="58" customWidth="1"/>
    <col min="3" max="3" width="6.44444444444444" style="59" customWidth="1"/>
    <col min="4" max="4" width="9.11111111111111" style="58" customWidth="1"/>
    <col min="5" max="5" width="7" style="58" customWidth="1"/>
    <col min="6" max="6" width="5.88888888888889" style="59" customWidth="1"/>
    <col min="7" max="7" width="16.6666666666667" style="58" customWidth="1"/>
    <col min="8" max="8" width="5.44444444444444" style="59" customWidth="1"/>
    <col min="9" max="9" width="10.1111111111111" style="58" customWidth="1"/>
    <col min="10" max="10" width="10.6666666666667" style="58" customWidth="1"/>
    <col min="11" max="11" width="7" style="59" customWidth="1"/>
    <col min="12" max="12" width="13.3333333333333" style="58" customWidth="1"/>
    <col min="13" max="13" width="6.77777777777778" style="59" customWidth="1"/>
    <col min="14" max="14" width="8.88888888888889" style="58" customWidth="1"/>
    <col min="15" max="15" width="9.44444444444444" style="58" customWidth="1"/>
    <col min="16" max="16" width="5.88888888888889" style="59" customWidth="1"/>
    <col min="17" max="17" width="14.2222222222222" style="60" customWidth="1"/>
    <col min="18" max="18" width="6.44444444444444" style="59" customWidth="1"/>
    <col min="19" max="19" width="10.1111111111111" style="58" customWidth="1"/>
    <col min="20" max="20" width="8.66666666666667" style="58" customWidth="1"/>
    <col min="21" max="21" width="5.77777777777778" style="59" customWidth="1"/>
    <col min="22" max="23" width="13" style="16" customWidth="1"/>
    <col min="24" max="24" width="12" style="16" customWidth="1"/>
    <col min="25" max="25" width="16" style="16" customWidth="1"/>
    <col min="26" max="26" width="13.8888888888889" style="16" customWidth="1"/>
  </cols>
  <sheetData>
    <row r="1" ht="36" customHeight="1" spans="1:25">
      <c r="A1" s="61" t="s">
        <v>321</v>
      </c>
      <c r="B1" s="62"/>
      <c r="C1" s="63"/>
      <c r="D1" s="64"/>
      <c r="E1" s="64"/>
      <c r="F1" s="63"/>
      <c r="G1" s="62"/>
      <c r="H1" s="63"/>
      <c r="I1" s="64"/>
      <c r="J1" s="64"/>
      <c r="K1" s="63"/>
      <c r="L1" s="62"/>
      <c r="M1" s="63"/>
      <c r="N1" s="64"/>
      <c r="O1" s="64"/>
      <c r="P1" s="63"/>
      <c r="Q1" s="62"/>
      <c r="R1" s="63"/>
      <c r="S1" s="64"/>
      <c r="T1" s="64"/>
      <c r="U1" s="65"/>
      <c r="V1" s="66"/>
    </row>
    <row r="2" ht="27" customHeight="1" spans="1:25">
      <c r="A2" s="67" t="s">
        <v>230</v>
      </c>
      <c r="B2" s="68" t="s">
        <v>322</v>
      </c>
      <c r="C2" s="63"/>
      <c r="D2" s="64"/>
      <c r="E2" s="64"/>
      <c r="F2" s="65"/>
      <c r="G2" s="69" t="s">
        <v>323</v>
      </c>
      <c r="H2" s="63"/>
      <c r="I2" s="64"/>
      <c r="J2" s="64"/>
      <c r="K2" s="65"/>
      <c r="L2" s="69" t="s">
        <v>324</v>
      </c>
      <c r="M2" s="63"/>
      <c r="N2" s="64"/>
      <c r="O2" s="64"/>
      <c r="P2" s="65"/>
      <c r="Q2" s="70" t="s">
        <v>325</v>
      </c>
      <c r="R2" s="63"/>
      <c r="S2" s="64"/>
      <c r="T2" s="64"/>
      <c r="U2" s="65"/>
      <c r="V2" s="71" t="s">
        <v>326</v>
      </c>
      <c r="W2" s="72"/>
      <c r="X2" s="72"/>
      <c r="Y2" s="73"/>
    </row>
    <row r="3" ht="45" customHeight="1" spans="1:25">
      <c r="A3" s="29"/>
      <c r="B3" s="74" t="s">
        <v>327</v>
      </c>
      <c r="C3" s="75" t="s">
        <v>123</v>
      </c>
      <c r="D3" s="74" t="s">
        <v>251</v>
      </c>
      <c r="E3" s="74" t="s">
        <v>12</v>
      </c>
      <c r="F3" s="75" t="s">
        <v>126</v>
      </c>
      <c r="G3" s="74" t="s">
        <v>328</v>
      </c>
      <c r="H3" s="75" t="s">
        <v>123</v>
      </c>
      <c r="I3" s="74" t="s">
        <v>251</v>
      </c>
      <c r="J3" s="76" t="s">
        <v>12</v>
      </c>
      <c r="K3" s="77" t="s">
        <v>126</v>
      </c>
      <c r="L3" s="74" t="s">
        <v>329</v>
      </c>
      <c r="M3" s="75" t="s">
        <v>123</v>
      </c>
      <c r="N3" s="74" t="s">
        <v>251</v>
      </c>
      <c r="O3" s="76" t="s">
        <v>12</v>
      </c>
      <c r="P3" s="77" t="s">
        <v>126</v>
      </c>
      <c r="Q3" s="78" t="s">
        <v>330</v>
      </c>
      <c r="R3" s="75" t="s">
        <v>123</v>
      </c>
      <c r="S3" s="74" t="s">
        <v>251</v>
      </c>
      <c r="T3" s="74" t="s">
        <v>12</v>
      </c>
      <c r="U3" s="77" t="s">
        <v>126</v>
      </c>
      <c r="V3" s="79" t="s">
        <v>331</v>
      </c>
      <c r="W3" s="80" t="s">
        <v>332</v>
      </c>
      <c r="X3" s="80" t="s">
        <v>333</v>
      </c>
      <c r="Y3" s="81" t="s">
        <v>334</v>
      </c>
    </row>
    <row r="4" ht="20.4" customHeight="1" spans="1:25">
      <c r="A4" s="82" t="s">
        <v>80</v>
      </c>
      <c r="B4" s="83">
        <f t="shared" ref="B4:B21" si="0">G4+L4/2+Q4/10</f>
        <v>15447937.5907372</v>
      </c>
      <c r="C4" s="84"/>
      <c r="D4" s="85"/>
      <c r="E4" s="85">
        <f t="shared" ref="E4:E21" si="1">B4/V4-1</f>
        <v>-0.00689392468587757</v>
      </c>
      <c r="F4" s="84"/>
      <c r="G4" s="83">
        <v>15222118.4463982</v>
      </c>
      <c r="H4" s="84"/>
      <c r="I4" s="85"/>
      <c r="J4" s="86">
        <f>G4/W4-1</f>
        <v>-0.00675951704518529</v>
      </c>
      <c r="K4" s="84"/>
      <c r="L4" s="83">
        <v>237412.33</v>
      </c>
      <c r="M4" s="84"/>
      <c r="N4" s="85"/>
      <c r="O4" s="87">
        <v>-0.00441924319915077</v>
      </c>
      <c r="P4" s="84"/>
      <c r="Q4" s="83">
        <v>1071129.79339</v>
      </c>
      <c r="R4" s="84"/>
      <c r="S4" s="85"/>
      <c r="T4" s="85">
        <v>-0.02825837169395</v>
      </c>
      <c r="U4" s="88"/>
      <c r="V4" s="89">
        <f t="shared" ref="V4:V21" si="2">W4+X4/2+Y4/10</f>
        <v>15555173.7873026</v>
      </c>
      <c r="W4" s="35">
        <v>15325712.8637302</v>
      </c>
      <c r="X4" s="35">
        <v>238466.17</v>
      </c>
      <c r="Y4" s="35">
        <v>1102278.385724</v>
      </c>
    </row>
    <row r="5" ht="20.4" customHeight="1" spans="1:25">
      <c r="A5" s="90" t="s">
        <v>127</v>
      </c>
      <c r="B5" s="83">
        <f t="shared" si="0"/>
        <v>4676608.31605941</v>
      </c>
      <c r="C5" s="84">
        <f t="shared" ref="C5:C21" si="3">RANK(B5,B$5:B$21)</f>
        <v>1</v>
      </c>
      <c r="D5" s="85">
        <f t="shared" ref="D5:D21" si="4">B5/B$4</f>
        <v>0.302733506566182</v>
      </c>
      <c r="E5" s="85">
        <f t="shared" si="1"/>
        <v>-0.0138242563757542</v>
      </c>
      <c r="F5" s="84">
        <f t="shared" ref="F5:F21" si="5">RANK(E5,E$5:E$21)</f>
        <v>13</v>
      </c>
      <c r="G5" s="91">
        <v>4595529.5523622</v>
      </c>
      <c r="H5" s="84">
        <f t="shared" ref="H5:H21" si="6">RANK(G5,G$5:G$21)</f>
        <v>1</v>
      </c>
      <c r="I5" s="85">
        <f t="shared" ref="I5:I21" si="7">G5/G$4</f>
        <v>0.301898160137466</v>
      </c>
      <c r="J5" s="92">
        <v>-0.0138334142241787</v>
      </c>
      <c r="K5" s="84">
        <f t="shared" ref="K5:K21" si="8">RANK(J5,J$5:J$21)</f>
        <v>12</v>
      </c>
      <c r="L5" s="93">
        <v>135474.779894424</v>
      </c>
      <c r="M5" s="84">
        <f t="shared" ref="M5:M21" si="9">RANK(L5,L$5:L$21)</f>
        <v>1</v>
      </c>
      <c r="N5" s="85">
        <f t="shared" ref="N5:N21" si="10">L5/L$4</f>
        <v>0.570630766710491</v>
      </c>
      <c r="O5" s="87">
        <v>-0.0238395427782188</v>
      </c>
      <c r="P5" s="84">
        <f t="shared" ref="P5:P21" si="11">RANK(O5,O$5:O$21)</f>
        <v>13</v>
      </c>
      <c r="Q5" s="83">
        <v>133413.7375</v>
      </c>
      <c r="R5" s="84">
        <f t="shared" ref="R5:R21" si="12">RANK(Q5,Q$5:Q$21)</f>
        <v>1</v>
      </c>
      <c r="S5" s="85">
        <f t="shared" ref="S5:S21" si="13">Q5/Q$4</f>
        <v>0.124554221461585</v>
      </c>
      <c r="T5" s="85">
        <v>0.0438932474234119</v>
      </c>
      <c r="U5" s="84">
        <f t="shared" ref="U5:U21" si="14">RANK(T5,T$5:T$21)</f>
        <v>2</v>
      </c>
      <c r="V5" s="89">
        <f t="shared" si="2"/>
        <v>4742165.22389066</v>
      </c>
      <c r="W5" s="35">
        <v>4659993.16813891</v>
      </c>
      <c r="X5" s="94">
        <v>138783.310563506</v>
      </c>
      <c r="Y5" s="35">
        <v>127804.0047</v>
      </c>
    </row>
    <row r="6" ht="20.4" customHeight="1" spans="1:25">
      <c r="A6" s="90" t="s">
        <v>128</v>
      </c>
      <c r="B6" s="83">
        <f t="shared" si="0"/>
        <v>339097.285112306</v>
      </c>
      <c r="C6" s="84">
        <f t="shared" si="3"/>
        <v>11</v>
      </c>
      <c r="D6" s="85">
        <f t="shared" si="4"/>
        <v>0.0219509745634675</v>
      </c>
      <c r="E6" s="85">
        <f t="shared" si="1"/>
        <v>-0.00658401748317317</v>
      </c>
      <c r="F6" s="84">
        <f t="shared" si="5"/>
        <v>10</v>
      </c>
      <c r="G6" s="91">
        <v>330505.118986608</v>
      </c>
      <c r="H6" s="84">
        <f t="shared" si="6"/>
        <v>11</v>
      </c>
      <c r="I6" s="85">
        <f t="shared" si="7"/>
        <v>0.0217121631361902</v>
      </c>
      <c r="J6" s="92">
        <v>-0.00305745579573391</v>
      </c>
      <c r="K6" s="84">
        <f t="shared" si="8"/>
        <v>8</v>
      </c>
      <c r="L6" s="93">
        <v>9135.6392231531</v>
      </c>
      <c r="M6" s="84">
        <f t="shared" si="9"/>
        <v>6</v>
      </c>
      <c r="N6" s="85">
        <f t="shared" si="10"/>
        <v>0.0384800537661759</v>
      </c>
      <c r="O6" s="87">
        <v>-0.0958698152939174</v>
      </c>
      <c r="P6" s="84">
        <f t="shared" si="11"/>
        <v>16</v>
      </c>
      <c r="Q6" s="83">
        <v>40243.4651412116</v>
      </c>
      <c r="R6" s="84">
        <f t="shared" si="12"/>
        <v>11</v>
      </c>
      <c r="S6" s="85">
        <f t="shared" si="13"/>
        <v>0.037571044507917</v>
      </c>
      <c r="T6" s="85">
        <v>-0.15699510278583</v>
      </c>
      <c r="U6" s="84">
        <f t="shared" si="14"/>
        <v>17</v>
      </c>
      <c r="V6" s="89">
        <f t="shared" si="2"/>
        <v>341344.704615281</v>
      </c>
      <c r="W6" s="35">
        <v>331518.72282711</v>
      </c>
      <c r="X6" s="94">
        <v>10104.3404784931</v>
      </c>
      <c r="Y6" s="35">
        <v>47738.1154892479</v>
      </c>
    </row>
    <row r="7" ht="20.4" customHeight="1" spans="1:25">
      <c r="A7" s="90" t="s">
        <v>129</v>
      </c>
      <c r="B7" s="83">
        <f t="shared" si="0"/>
        <v>333590.669203339</v>
      </c>
      <c r="C7" s="84">
        <f t="shared" si="3"/>
        <v>12</v>
      </c>
      <c r="D7" s="85">
        <f t="shared" si="4"/>
        <v>0.0215945117103117</v>
      </c>
      <c r="E7" s="85">
        <f t="shared" si="1"/>
        <v>0.0103296909865438</v>
      </c>
      <c r="F7" s="84">
        <f t="shared" si="5"/>
        <v>3</v>
      </c>
      <c r="G7" s="91">
        <v>321351.574087879</v>
      </c>
      <c r="H7" s="84">
        <f t="shared" si="6"/>
        <v>12</v>
      </c>
      <c r="I7" s="85">
        <f t="shared" si="7"/>
        <v>0.0211108312696066</v>
      </c>
      <c r="J7" s="92">
        <v>0.0116343780900821</v>
      </c>
      <c r="K7" s="84">
        <f t="shared" si="8"/>
        <v>2</v>
      </c>
      <c r="L7" s="93">
        <v>12582.3216808481</v>
      </c>
      <c r="M7" s="84">
        <f t="shared" si="9"/>
        <v>4</v>
      </c>
      <c r="N7" s="85">
        <f t="shared" si="10"/>
        <v>0.0529977599766958</v>
      </c>
      <c r="O7" s="87">
        <v>0.0640516648512413</v>
      </c>
      <c r="P7" s="84">
        <f t="shared" si="11"/>
        <v>7</v>
      </c>
      <c r="Q7" s="83">
        <v>59479.3427503566</v>
      </c>
      <c r="R7" s="84">
        <f t="shared" si="12"/>
        <v>8</v>
      </c>
      <c r="S7" s="85">
        <f t="shared" si="13"/>
        <v>0.0555295381730644</v>
      </c>
      <c r="T7" s="85">
        <v>-0.100393654202881</v>
      </c>
      <c r="U7" s="84">
        <f t="shared" si="14"/>
        <v>14</v>
      </c>
      <c r="V7" s="89">
        <f t="shared" si="2"/>
        <v>330180.011712416</v>
      </c>
      <c r="W7" s="35">
        <v>317655.845874451</v>
      </c>
      <c r="X7" s="94">
        <v>11824.9161168384</v>
      </c>
      <c r="Y7" s="35">
        <v>66117.0777954589</v>
      </c>
    </row>
    <row r="8" ht="20.4" customHeight="1" spans="1:25">
      <c r="A8" s="90" t="s">
        <v>130</v>
      </c>
      <c r="B8" s="83">
        <f t="shared" si="0"/>
        <v>834636.131507339</v>
      </c>
      <c r="C8" s="84">
        <f t="shared" si="3"/>
        <v>7</v>
      </c>
      <c r="D8" s="85">
        <f t="shared" si="4"/>
        <v>0.0540289683723087</v>
      </c>
      <c r="E8" s="85">
        <f t="shared" si="1"/>
        <v>-0.00785935074067134</v>
      </c>
      <c r="F8" s="84">
        <f t="shared" si="5"/>
        <v>11</v>
      </c>
      <c r="G8" s="91">
        <v>814383.087908661</v>
      </c>
      <c r="H8" s="84">
        <f t="shared" si="6"/>
        <v>7</v>
      </c>
      <c r="I8" s="85">
        <f t="shared" si="7"/>
        <v>0.0534999836439558</v>
      </c>
      <c r="J8" s="92">
        <v>-0.00843876520223563</v>
      </c>
      <c r="K8" s="84">
        <f t="shared" si="8"/>
        <v>11</v>
      </c>
      <c r="L8" s="93">
        <v>14876.1663099843</v>
      </c>
      <c r="M8" s="84">
        <f t="shared" si="9"/>
        <v>2</v>
      </c>
      <c r="N8" s="85">
        <f t="shared" si="10"/>
        <v>0.0626596197003934</v>
      </c>
      <c r="O8" s="87">
        <v>0.0999661440231046</v>
      </c>
      <c r="P8" s="84">
        <f t="shared" si="11"/>
        <v>5</v>
      </c>
      <c r="Q8" s="83">
        <v>128149.604436862</v>
      </c>
      <c r="R8" s="84">
        <f t="shared" si="12"/>
        <v>2</v>
      </c>
      <c r="S8" s="85">
        <f t="shared" si="13"/>
        <v>0.119639660130528</v>
      </c>
      <c r="T8" s="85">
        <v>-0.0270858186385627</v>
      </c>
      <c r="U8" s="84">
        <f t="shared" si="14"/>
        <v>6</v>
      </c>
      <c r="V8" s="89">
        <f t="shared" si="2"/>
        <v>841247.792972123</v>
      </c>
      <c r="W8" s="35">
        <v>821313.963604839</v>
      </c>
      <c r="X8" s="94">
        <v>13524.2038046507</v>
      </c>
      <c r="Y8" s="35">
        <v>131717.274649586</v>
      </c>
    </row>
    <row r="9" ht="20.4" customHeight="1" spans="1:25">
      <c r="A9" s="90" t="s">
        <v>131</v>
      </c>
      <c r="B9" s="83">
        <f t="shared" si="0"/>
        <v>3608082.1769881</v>
      </c>
      <c r="C9" s="84">
        <f t="shared" si="3"/>
        <v>2</v>
      </c>
      <c r="D9" s="85">
        <f t="shared" si="4"/>
        <v>0.233564005278708</v>
      </c>
      <c r="E9" s="85">
        <f t="shared" si="1"/>
        <v>-0.0140110560373653</v>
      </c>
      <c r="F9" s="84">
        <f t="shared" si="5"/>
        <v>14</v>
      </c>
      <c r="G9" s="91">
        <v>3588808.685311</v>
      </c>
      <c r="H9" s="84">
        <f t="shared" si="6"/>
        <v>2</v>
      </c>
      <c r="I9" s="85">
        <f t="shared" si="7"/>
        <v>0.235762761796153</v>
      </c>
      <c r="J9" s="92">
        <v>-0.0139569965043528</v>
      </c>
      <c r="K9" s="84">
        <f t="shared" si="8"/>
        <v>13</v>
      </c>
      <c r="L9" s="93">
        <v>13257.9714427465</v>
      </c>
      <c r="M9" s="84">
        <f t="shared" si="9"/>
        <v>3</v>
      </c>
      <c r="N9" s="85">
        <f t="shared" si="10"/>
        <v>0.0558436516028738</v>
      </c>
      <c r="O9" s="87">
        <v>-0.0453204648846849</v>
      </c>
      <c r="P9" s="84">
        <f t="shared" si="11"/>
        <v>14</v>
      </c>
      <c r="Q9" s="83">
        <v>126445.05955728</v>
      </c>
      <c r="R9" s="84">
        <f t="shared" si="12"/>
        <v>3</v>
      </c>
      <c r="S9" s="85">
        <f t="shared" si="13"/>
        <v>0.118048307812535</v>
      </c>
      <c r="T9" s="85">
        <v>-0.0123984208041997</v>
      </c>
      <c r="U9" s="84">
        <f t="shared" si="14"/>
        <v>5</v>
      </c>
      <c r="V9" s="89">
        <f t="shared" si="2"/>
        <v>3659353.58512989</v>
      </c>
      <c r="W9" s="35">
        <v>3639606.66278064</v>
      </c>
      <c r="X9" s="94">
        <v>13887.352724226</v>
      </c>
      <c r="Y9" s="35">
        <v>128032.459871362</v>
      </c>
    </row>
    <row r="10" ht="20.4" customHeight="1" spans="1:25">
      <c r="A10" s="90" t="s">
        <v>132</v>
      </c>
      <c r="B10" s="83">
        <f t="shared" si="0"/>
        <v>104337.284918532</v>
      </c>
      <c r="C10" s="84">
        <f t="shared" si="3"/>
        <v>16</v>
      </c>
      <c r="D10" s="85">
        <f t="shared" si="4"/>
        <v>0.00675412392791476</v>
      </c>
      <c r="E10" s="85">
        <f t="shared" si="1"/>
        <v>-0.053986525931311</v>
      </c>
      <c r="F10" s="84">
        <f t="shared" si="5"/>
        <v>17</v>
      </c>
      <c r="G10" s="91">
        <v>101433.364002024</v>
      </c>
      <c r="H10" s="84">
        <f t="shared" si="6"/>
        <v>16</v>
      </c>
      <c r="I10" s="85">
        <f t="shared" si="7"/>
        <v>0.00666355109239245</v>
      </c>
      <c r="J10" s="92">
        <v>-0.0537702723690464</v>
      </c>
      <c r="K10" s="84">
        <f t="shared" si="8"/>
        <v>17</v>
      </c>
      <c r="L10" s="93">
        <v>2112.37312734661</v>
      </c>
      <c r="M10" s="84">
        <f t="shared" si="9"/>
        <v>13</v>
      </c>
      <c r="N10" s="85">
        <f t="shared" si="10"/>
        <v>0.00889748703172497</v>
      </c>
      <c r="O10" s="87">
        <v>-0.106925216528947</v>
      </c>
      <c r="P10" s="84">
        <f t="shared" si="11"/>
        <v>17</v>
      </c>
      <c r="Q10" s="83">
        <v>18477.3435283468</v>
      </c>
      <c r="R10" s="84">
        <f t="shared" si="12"/>
        <v>14</v>
      </c>
      <c r="S10" s="85">
        <f t="shared" si="13"/>
        <v>0.0172503310451931</v>
      </c>
      <c r="T10" s="85">
        <v>-0.0333610782738084</v>
      </c>
      <c r="U10" s="84">
        <f t="shared" si="14"/>
        <v>7</v>
      </c>
      <c r="V10" s="89">
        <f t="shared" si="2"/>
        <v>110291.542117038</v>
      </c>
      <c r="W10" s="35">
        <v>107197.397249376</v>
      </c>
      <c r="X10" s="94">
        <v>2365.28134758949</v>
      </c>
      <c r="Y10" s="35">
        <v>19115.0419386699</v>
      </c>
    </row>
    <row r="11" ht="20.4" customHeight="1" spans="1:25">
      <c r="A11" s="90" t="s">
        <v>133</v>
      </c>
      <c r="B11" s="83">
        <f t="shared" si="0"/>
        <v>901787.80116194</v>
      </c>
      <c r="C11" s="84">
        <f t="shared" si="3"/>
        <v>4</v>
      </c>
      <c r="D11" s="85">
        <f t="shared" si="4"/>
        <v>0.0583759350311374</v>
      </c>
      <c r="E11" s="85">
        <f t="shared" si="1"/>
        <v>0.000424777060947346</v>
      </c>
      <c r="F11" s="84">
        <f t="shared" si="5"/>
        <v>7</v>
      </c>
      <c r="G11" s="91">
        <v>895827.87674843</v>
      </c>
      <c r="H11" s="84">
        <f t="shared" si="6"/>
        <v>4</v>
      </c>
      <c r="I11" s="85">
        <f t="shared" si="7"/>
        <v>0.0588504077078967</v>
      </c>
      <c r="J11" s="92">
        <v>0.000897061219111484</v>
      </c>
      <c r="K11" s="84">
        <f t="shared" si="8"/>
        <v>7</v>
      </c>
      <c r="L11" s="93">
        <v>6625.54322195638</v>
      </c>
      <c r="M11" s="84">
        <f t="shared" si="9"/>
        <v>8</v>
      </c>
      <c r="N11" s="85">
        <f t="shared" si="10"/>
        <v>0.0279073257145338</v>
      </c>
      <c r="O11" s="87">
        <v>0.0163986742475521</v>
      </c>
      <c r="P11" s="84">
        <f t="shared" si="11"/>
        <v>8</v>
      </c>
      <c r="Q11" s="83">
        <v>26471.5280253139</v>
      </c>
      <c r="R11" s="84">
        <f t="shared" si="12"/>
        <v>12</v>
      </c>
      <c r="S11" s="85">
        <f t="shared" si="13"/>
        <v>0.0247136511267553</v>
      </c>
      <c r="T11" s="85">
        <v>-0.151716028984139</v>
      </c>
      <c r="U11" s="84">
        <f t="shared" si="14"/>
        <v>16</v>
      </c>
      <c r="V11" s="89">
        <f t="shared" si="2"/>
        <v>901404.905035655</v>
      </c>
      <c r="W11" s="35">
        <v>895024.98454466</v>
      </c>
      <c r="X11" s="94">
        <v>6518.64606854325</v>
      </c>
      <c r="Y11" s="35">
        <v>31205.9745672348</v>
      </c>
    </row>
    <row r="12" ht="20.4" customHeight="1" spans="1:25">
      <c r="A12" s="90" t="s">
        <v>134</v>
      </c>
      <c r="B12" s="83">
        <f t="shared" si="0"/>
        <v>351957.795488472</v>
      </c>
      <c r="C12" s="84">
        <f t="shared" si="3"/>
        <v>10</v>
      </c>
      <c r="D12" s="85">
        <f t="shared" si="4"/>
        <v>0.0227834811877742</v>
      </c>
      <c r="E12" s="85">
        <f t="shared" si="1"/>
        <v>-0.0225508694082355</v>
      </c>
      <c r="F12" s="84">
        <f t="shared" si="5"/>
        <v>16</v>
      </c>
      <c r="G12" s="91">
        <v>343519.399470726</v>
      </c>
      <c r="H12" s="84">
        <f t="shared" si="6"/>
        <v>10</v>
      </c>
      <c r="I12" s="85">
        <f t="shared" si="7"/>
        <v>0.0225671216973094</v>
      </c>
      <c r="J12" s="92">
        <v>-0.0245119206786121</v>
      </c>
      <c r="K12" s="84">
        <f t="shared" si="8"/>
        <v>16</v>
      </c>
      <c r="L12" s="93">
        <v>5620.03602336987</v>
      </c>
      <c r="M12" s="84">
        <f t="shared" si="9"/>
        <v>11</v>
      </c>
      <c r="N12" s="85">
        <f t="shared" si="10"/>
        <v>0.0236720477970536</v>
      </c>
      <c r="O12" s="87">
        <v>0.168608540294263</v>
      </c>
      <c r="P12" s="84">
        <f t="shared" si="11"/>
        <v>3</v>
      </c>
      <c r="Q12" s="83">
        <v>56283.780060606</v>
      </c>
      <c r="R12" s="84">
        <f t="shared" si="12"/>
        <v>9</v>
      </c>
      <c r="S12" s="85">
        <f t="shared" si="13"/>
        <v>0.0525461810584826</v>
      </c>
      <c r="T12" s="85">
        <v>0.0192689108806501</v>
      </c>
      <c r="U12" s="84">
        <f t="shared" si="14"/>
        <v>3</v>
      </c>
      <c r="V12" s="89">
        <f t="shared" si="2"/>
        <v>360077.864385014</v>
      </c>
      <c r="W12" s="35">
        <v>352151.304308813</v>
      </c>
      <c r="X12" s="94">
        <v>4809.16904984684</v>
      </c>
      <c r="Y12" s="35">
        <v>55219.755512779</v>
      </c>
    </row>
    <row r="13" ht="20.4" customHeight="1" spans="1:25">
      <c r="A13" s="90" t="s">
        <v>135</v>
      </c>
      <c r="B13" s="83">
        <f t="shared" si="0"/>
        <v>1149983.15310993</v>
      </c>
      <c r="C13" s="84">
        <f t="shared" si="3"/>
        <v>3</v>
      </c>
      <c r="D13" s="85">
        <f t="shared" si="4"/>
        <v>0.0744425038200231</v>
      </c>
      <c r="E13" s="85">
        <f t="shared" si="1"/>
        <v>0.0173194381909132</v>
      </c>
      <c r="F13" s="84">
        <f t="shared" si="5"/>
        <v>1</v>
      </c>
      <c r="G13" s="91">
        <v>1136346.22528001</v>
      </c>
      <c r="H13" s="84">
        <f t="shared" si="6"/>
        <v>3</v>
      </c>
      <c r="I13" s="85">
        <f t="shared" si="7"/>
        <v>0.0746509908776126</v>
      </c>
      <c r="J13" s="92">
        <v>0.0181173800800638</v>
      </c>
      <c r="K13" s="84">
        <f t="shared" si="8"/>
        <v>1</v>
      </c>
      <c r="L13" s="93">
        <v>11203.0760967715</v>
      </c>
      <c r="M13" s="84">
        <f t="shared" si="9"/>
        <v>5</v>
      </c>
      <c r="N13" s="85">
        <f t="shared" si="10"/>
        <v>0.0471882656506151</v>
      </c>
      <c r="O13" s="87">
        <v>-0.00802685888712995</v>
      </c>
      <c r="P13" s="84">
        <f t="shared" si="11"/>
        <v>12</v>
      </c>
      <c r="Q13" s="83">
        <v>80353.897815375</v>
      </c>
      <c r="R13" s="84">
        <f t="shared" si="12"/>
        <v>6</v>
      </c>
      <c r="S13" s="85">
        <f t="shared" si="13"/>
        <v>0.0750178907460546</v>
      </c>
      <c r="T13" s="85">
        <v>-0.0692606889429422</v>
      </c>
      <c r="U13" s="84">
        <f t="shared" si="14"/>
        <v>12</v>
      </c>
      <c r="V13" s="89">
        <f t="shared" si="2"/>
        <v>1130405.17062658</v>
      </c>
      <c r="W13" s="35">
        <v>1116124.96507097</v>
      </c>
      <c r="X13" s="94">
        <v>11293.7292679145</v>
      </c>
      <c r="Y13" s="35">
        <v>86333.4092165029</v>
      </c>
    </row>
    <row r="14" ht="20.4" customHeight="1" spans="1:25">
      <c r="A14" s="90" t="s">
        <v>136</v>
      </c>
      <c r="B14" s="83">
        <f t="shared" si="0"/>
        <v>893574.675757794</v>
      </c>
      <c r="C14" s="84">
        <f t="shared" si="3"/>
        <v>5</v>
      </c>
      <c r="D14" s="85">
        <f t="shared" si="4"/>
        <v>0.0578442701822924</v>
      </c>
      <c r="E14" s="85">
        <f t="shared" si="1"/>
        <v>0.006828134095751</v>
      </c>
      <c r="F14" s="84">
        <f t="shared" si="5"/>
        <v>4</v>
      </c>
      <c r="G14" s="91">
        <v>879916.362564062</v>
      </c>
      <c r="H14" s="84">
        <f t="shared" si="6"/>
        <v>5</v>
      </c>
      <c r="I14" s="85">
        <f t="shared" si="7"/>
        <v>0.0578051186280359</v>
      </c>
      <c r="J14" s="92">
        <v>0.00678821414541853</v>
      </c>
      <c r="K14" s="84">
        <f t="shared" si="8"/>
        <v>4</v>
      </c>
      <c r="L14" s="93">
        <v>6011.02817755521</v>
      </c>
      <c r="M14" s="84">
        <f t="shared" si="9"/>
        <v>9</v>
      </c>
      <c r="N14" s="85">
        <f t="shared" si="10"/>
        <v>0.0253189384795441</v>
      </c>
      <c r="O14" s="87">
        <v>-0.00761176846751555</v>
      </c>
      <c r="P14" s="84">
        <f t="shared" si="11"/>
        <v>11</v>
      </c>
      <c r="Q14" s="83">
        <v>106527.99104954</v>
      </c>
      <c r="R14" s="84">
        <f t="shared" si="12"/>
        <v>5</v>
      </c>
      <c r="S14" s="85">
        <f t="shared" si="13"/>
        <v>0.0994538586331274</v>
      </c>
      <c r="T14" s="85">
        <v>0.0143141470375461</v>
      </c>
      <c r="U14" s="84">
        <f t="shared" si="14"/>
        <v>4</v>
      </c>
      <c r="V14" s="89">
        <f t="shared" si="2"/>
        <v>887514.607009197</v>
      </c>
      <c r="W14" s="35">
        <v>873983.574898075</v>
      </c>
      <c r="X14" s="94">
        <v>6057.13367667888</v>
      </c>
      <c r="Y14" s="35">
        <v>105024.652727826</v>
      </c>
    </row>
    <row r="15" ht="20.4" customHeight="1" spans="1:25">
      <c r="A15" s="90" t="s">
        <v>137</v>
      </c>
      <c r="B15" s="83">
        <f t="shared" si="0"/>
        <v>381320.763419405</v>
      </c>
      <c r="C15" s="84">
        <f t="shared" si="3"/>
        <v>9</v>
      </c>
      <c r="D15" s="85">
        <f t="shared" si="4"/>
        <v>0.0246842506437915</v>
      </c>
      <c r="E15" s="85">
        <f t="shared" si="1"/>
        <v>0.00238224252040475</v>
      </c>
      <c r="F15" s="84">
        <f t="shared" si="5"/>
        <v>6</v>
      </c>
      <c r="G15" s="91">
        <v>370610.516427044</v>
      </c>
      <c r="H15" s="84">
        <f t="shared" si="6"/>
        <v>9</v>
      </c>
      <c r="I15" s="85">
        <f t="shared" si="7"/>
        <v>0.024346842243547</v>
      </c>
      <c r="J15" s="92">
        <v>0.00399945039921956</v>
      </c>
      <c r="K15" s="84">
        <f t="shared" si="8"/>
        <v>5</v>
      </c>
      <c r="L15" s="93">
        <v>5772.90677487165</v>
      </c>
      <c r="M15" s="84">
        <f t="shared" si="9"/>
        <v>10</v>
      </c>
      <c r="N15" s="85">
        <f t="shared" si="10"/>
        <v>0.0243159518078596</v>
      </c>
      <c r="O15" s="87">
        <v>0.00571931946450133</v>
      </c>
      <c r="P15" s="84">
        <f t="shared" si="11"/>
        <v>9</v>
      </c>
      <c r="Q15" s="83">
        <v>78237.9360492521</v>
      </c>
      <c r="R15" s="84">
        <f t="shared" si="12"/>
        <v>7</v>
      </c>
      <c r="S15" s="85">
        <f t="shared" si="13"/>
        <v>0.0730424422250811</v>
      </c>
      <c r="T15" s="85">
        <v>-0.0697369529982301</v>
      </c>
      <c r="U15" s="84">
        <f t="shared" si="14"/>
        <v>13</v>
      </c>
      <c r="V15" s="89">
        <f t="shared" si="2"/>
        <v>380414.523765511</v>
      </c>
      <c r="W15" s="35">
        <v>369134.182573186</v>
      </c>
      <c r="X15" s="94">
        <v>5740.07743825131</v>
      </c>
      <c r="Y15" s="35">
        <v>84103.0247319963</v>
      </c>
    </row>
    <row r="16" ht="20.4" customHeight="1" spans="1:25">
      <c r="A16" s="90" t="s">
        <v>138</v>
      </c>
      <c r="B16" s="83">
        <f t="shared" si="0"/>
        <v>852075.709946838</v>
      </c>
      <c r="C16" s="84">
        <f t="shared" si="3"/>
        <v>6</v>
      </c>
      <c r="D16" s="85">
        <f t="shared" si="4"/>
        <v>0.0551578943753472</v>
      </c>
      <c r="E16" s="85">
        <f t="shared" si="1"/>
        <v>0.0113211101540096</v>
      </c>
      <c r="F16" s="84">
        <f t="shared" si="5"/>
        <v>2</v>
      </c>
      <c r="G16" s="91">
        <v>845549.722355603</v>
      </c>
      <c r="H16" s="84">
        <f t="shared" si="6"/>
        <v>6</v>
      </c>
      <c r="I16" s="85">
        <f t="shared" si="7"/>
        <v>0.0555474407411193</v>
      </c>
      <c r="J16" s="92">
        <v>0.0113813853225266</v>
      </c>
      <c r="K16" s="84">
        <f t="shared" si="8"/>
        <v>3</v>
      </c>
      <c r="L16" s="93">
        <v>2671.70490401117</v>
      </c>
      <c r="M16" s="84">
        <f t="shared" si="9"/>
        <v>12</v>
      </c>
      <c r="N16" s="85">
        <f t="shared" si="10"/>
        <v>0.0112534378648791</v>
      </c>
      <c r="O16" s="87">
        <v>0.200738854361145</v>
      </c>
      <c r="P16" s="84">
        <f t="shared" si="11"/>
        <v>2</v>
      </c>
      <c r="Q16" s="83">
        <v>51901.3513922962</v>
      </c>
      <c r="R16" s="84">
        <f t="shared" si="12"/>
        <v>10</v>
      </c>
      <c r="S16" s="85">
        <f t="shared" si="13"/>
        <v>0.0484547733734812</v>
      </c>
      <c r="T16" s="85">
        <v>-0.0371228123584555</v>
      </c>
      <c r="U16" s="84">
        <f t="shared" si="14"/>
        <v>9</v>
      </c>
      <c r="V16" s="89">
        <f t="shared" si="2"/>
        <v>842537.252897924</v>
      </c>
      <c r="W16" s="35">
        <v>836034.491663062</v>
      </c>
      <c r="X16" s="94">
        <v>2225.05076295932</v>
      </c>
      <c r="Y16" s="35">
        <v>53902.3585338256</v>
      </c>
    </row>
    <row r="17" ht="20.4" customHeight="1" spans="1:25">
      <c r="A17" s="90" t="s">
        <v>147</v>
      </c>
      <c r="B17" s="83">
        <f t="shared" si="0"/>
        <v>422488.477797912</v>
      </c>
      <c r="C17" s="84">
        <f t="shared" si="3"/>
        <v>8</v>
      </c>
      <c r="D17" s="85">
        <f t="shared" si="4"/>
        <v>0.0273491833661499</v>
      </c>
      <c r="E17" s="85">
        <f t="shared" si="1"/>
        <v>-0.0138021932119863</v>
      </c>
      <c r="F17" s="84">
        <f t="shared" si="5"/>
        <v>12</v>
      </c>
      <c r="G17" s="91">
        <v>406883.559690744</v>
      </c>
      <c r="H17" s="84">
        <f t="shared" si="6"/>
        <v>8</v>
      </c>
      <c r="I17" s="85">
        <f t="shared" si="7"/>
        <v>0.0267297591411805</v>
      </c>
      <c r="J17" s="92">
        <v>-0.013964537624169</v>
      </c>
      <c r="K17" s="84">
        <f t="shared" si="8"/>
        <v>14</v>
      </c>
      <c r="L17" s="93">
        <v>7638.00675210309</v>
      </c>
      <c r="M17" s="84">
        <f t="shared" si="9"/>
        <v>7</v>
      </c>
      <c r="N17" s="85">
        <f t="shared" si="10"/>
        <v>0.0321719042650527</v>
      </c>
      <c r="O17" s="87">
        <v>0.0763614718265606</v>
      </c>
      <c r="P17" s="84">
        <f t="shared" si="11"/>
        <v>6</v>
      </c>
      <c r="Q17" s="83">
        <v>117859.147311167</v>
      </c>
      <c r="R17" s="84">
        <f t="shared" si="12"/>
        <v>4</v>
      </c>
      <c r="S17" s="85">
        <f t="shared" si="13"/>
        <v>0.110032554447166</v>
      </c>
      <c r="T17" s="85">
        <v>-0.0345205860480344</v>
      </c>
      <c r="U17" s="84">
        <f t="shared" si="14"/>
        <v>8</v>
      </c>
      <c r="V17" s="89">
        <f t="shared" si="2"/>
        <v>428401.356086901</v>
      </c>
      <c r="W17" s="35">
        <v>412645.969862349</v>
      </c>
      <c r="X17" s="94">
        <v>7096.13540806284</v>
      </c>
      <c r="Y17" s="35">
        <v>122073.185205201</v>
      </c>
    </row>
    <row r="18" ht="20.4" customHeight="1" spans="1:25">
      <c r="A18" s="90" t="s">
        <v>107</v>
      </c>
      <c r="B18" s="83">
        <f t="shared" si="0"/>
        <v>125524.788159099</v>
      </c>
      <c r="C18" s="84">
        <f t="shared" si="3"/>
        <v>15</v>
      </c>
      <c r="D18" s="85">
        <f t="shared" si="4"/>
        <v>0.00812566644717453</v>
      </c>
      <c r="E18" s="85">
        <f t="shared" si="1"/>
        <v>-0.00501798765948547</v>
      </c>
      <c r="F18" s="84">
        <f t="shared" si="5"/>
        <v>8</v>
      </c>
      <c r="G18" s="91">
        <v>123945.99835689</v>
      </c>
      <c r="H18" s="84">
        <f t="shared" si="6"/>
        <v>15</v>
      </c>
      <c r="I18" s="85">
        <f t="shared" si="7"/>
        <v>0.00814249335881483</v>
      </c>
      <c r="J18" s="92">
        <v>-0.0041359901265644</v>
      </c>
      <c r="K18" s="84">
        <f t="shared" si="8"/>
        <v>9</v>
      </c>
      <c r="L18" s="93">
        <v>1783.37341148847</v>
      </c>
      <c r="M18" s="84">
        <f t="shared" si="9"/>
        <v>14</v>
      </c>
      <c r="N18" s="85">
        <f t="shared" si="10"/>
        <v>0.00751171353016278</v>
      </c>
      <c r="O18" s="87">
        <v>-0.0793470917667854</v>
      </c>
      <c r="P18" s="84">
        <f t="shared" si="11"/>
        <v>15</v>
      </c>
      <c r="Q18" s="83">
        <v>6871.03096465171</v>
      </c>
      <c r="R18" s="84">
        <f t="shared" si="12"/>
        <v>16</v>
      </c>
      <c r="S18" s="85">
        <f t="shared" si="13"/>
        <v>0.00641475104796189</v>
      </c>
      <c r="T18" s="85">
        <v>-0.0568798598836232</v>
      </c>
      <c r="U18" s="84">
        <f t="shared" si="14"/>
        <v>11</v>
      </c>
      <c r="V18" s="89">
        <f t="shared" si="2"/>
        <v>126157.846676871</v>
      </c>
      <c r="W18" s="35">
        <v>124460.766859767</v>
      </c>
      <c r="X18" s="94">
        <v>1937.07465163051</v>
      </c>
      <c r="Y18" s="35">
        <v>7285.42491288952</v>
      </c>
    </row>
    <row r="19" ht="20.4" customHeight="1" spans="1:25">
      <c r="A19" s="90" t="s">
        <v>109</v>
      </c>
      <c r="B19" s="83">
        <f t="shared" si="0"/>
        <v>230326.783504392</v>
      </c>
      <c r="C19" s="84">
        <f t="shared" si="3"/>
        <v>13</v>
      </c>
      <c r="D19" s="85">
        <f t="shared" si="4"/>
        <v>0.0149098727355359</v>
      </c>
      <c r="E19" s="85">
        <f t="shared" si="1"/>
        <v>0.00265237730292656</v>
      </c>
      <c r="F19" s="84">
        <f t="shared" si="5"/>
        <v>5</v>
      </c>
      <c r="G19" s="91">
        <v>228037.983013106</v>
      </c>
      <c r="H19" s="84">
        <f t="shared" si="6"/>
        <v>13</v>
      </c>
      <c r="I19" s="85">
        <f t="shared" si="7"/>
        <v>0.0149806995534885</v>
      </c>
      <c r="J19" s="92">
        <v>0.00272419981228555</v>
      </c>
      <c r="K19" s="84">
        <f t="shared" si="8"/>
        <v>6</v>
      </c>
      <c r="L19" s="93">
        <v>1328.86519742588</v>
      </c>
      <c r="M19" s="84">
        <f t="shared" si="9"/>
        <v>15</v>
      </c>
      <c r="N19" s="85">
        <f t="shared" si="10"/>
        <v>0.00559728804913325</v>
      </c>
      <c r="O19" s="87">
        <v>0.106381200966052</v>
      </c>
      <c r="P19" s="84">
        <f t="shared" si="11"/>
        <v>4</v>
      </c>
      <c r="Q19" s="83">
        <v>16243.6789257339</v>
      </c>
      <c r="R19" s="84">
        <f t="shared" si="12"/>
        <v>15</v>
      </c>
      <c r="S19" s="85">
        <f t="shared" si="13"/>
        <v>0.0151649959005664</v>
      </c>
      <c r="T19" s="85">
        <v>-0.0436403003392386</v>
      </c>
      <c r="U19" s="84">
        <f t="shared" si="14"/>
        <v>10</v>
      </c>
      <c r="V19" s="89">
        <f t="shared" si="2"/>
        <v>229717.486058286</v>
      </c>
      <c r="W19" s="35">
        <v>227418.449715081</v>
      </c>
      <c r="X19" s="94">
        <v>1201.09162761042</v>
      </c>
      <c r="Y19" s="35">
        <v>16984.9052939975</v>
      </c>
    </row>
    <row r="20" ht="20.4" customHeight="1" spans="1:25">
      <c r="A20" s="90" t="s">
        <v>111</v>
      </c>
      <c r="B20" s="83">
        <f t="shared" si="0"/>
        <v>227354.365001274</v>
      </c>
      <c r="C20" s="84">
        <f t="shared" si="3"/>
        <v>14</v>
      </c>
      <c r="D20" s="85">
        <f t="shared" si="4"/>
        <v>0.014717457503039</v>
      </c>
      <c r="E20" s="85">
        <f t="shared" si="1"/>
        <v>-0.00508337516747326</v>
      </c>
      <c r="F20" s="84">
        <f t="shared" si="5"/>
        <v>9</v>
      </c>
      <c r="G20" s="91">
        <v>224593.326786264</v>
      </c>
      <c r="H20" s="84">
        <f t="shared" si="6"/>
        <v>14</v>
      </c>
      <c r="I20" s="85">
        <f t="shared" si="7"/>
        <v>0.014754406725787</v>
      </c>
      <c r="J20" s="92">
        <v>-0.00779501999950538</v>
      </c>
      <c r="K20" s="84">
        <f t="shared" si="8"/>
        <v>10</v>
      </c>
      <c r="L20" s="93">
        <v>1159.75345925605</v>
      </c>
      <c r="M20" s="84">
        <f t="shared" si="9"/>
        <v>16</v>
      </c>
      <c r="N20" s="85">
        <f t="shared" si="10"/>
        <v>0.00488497568452342</v>
      </c>
      <c r="O20" s="87">
        <v>0.233124547144161</v>
      </c>
      <c r="P20" s="84">
        <f t="shared" si="11"/>
        <v>1</v>
      </c>
      <c r="Q20" s="83">
        <v>21811.614853815</v>
      </c>
      <c r="R20" s="84">
        <f t="shared" si="12"/>
        <v>13</v>
      </c>
      <c r="S20" s="85">
        <f t="shared" si="13"/>
        <v>0.0203631856647212</v>
      </c>
      <c r="T20" s="85">
        <v>0.292189941171734</v>
      </c>
      <c r="U20" s="84">
        <f t="shared" si="14"/>
        <v>1</v>
      </c>
      <c r="V20" s="89">
        <f t="shared" si="2"/>
        <v>228515.997548582</v>
      </c>
      <c r="W20" s="35">
        <v>226357.790288607</v>
      </c>
      <c r="X20" s="94">
        <v>940.499856192117</v>
      </c>
      <c r="Y20" s="35">
        <v>16879.5733187929</v>
      </c>
    </row>
    <row r="21" ht="20.4" customHeight="1" spans="1:25">
      <c r="A21" s="90" t="s">
        <v>112</v>
      </c>
      <c r="B21" s="83">
        <f t="shared" si="0"/>
        <v>15191.4135858465</v>
      </c>
      <c r="C21" s="84">
        <f t="shared" si="3"/>
        <v>17</v>
      </c>
      <c r="D21" s="85">
        <f t="shared" si="4"/>
        <v>0.00098339428785338</v>
      </c>
      <c r="E21" s="85">
        <f t="shared" si="1"/>
        <v>-0.0163496859347483</v>
      </c>
      <c r="F21" s="84">
        <f t="shared" si="5"/>
        <v>15</v>
      </c>
      <c r="G21" s="91">
        <v>14876.0930316832</v>
      </c>
      <c r="H21" s="84">
        <f t="shared" si="6"/>
        <v>17</v>
      </c>
      <c r="I21" s="85">
        <f t="shared" si="7"/>
        <v>0.00097726824844167</v>
      </c>
      <c r="J21" s="92">
        <v>-0.0142161415058555</v>
      </c>
      <c r="K21" s="84">
        <f t="shared" si="8"/>
        <v>15</v>
      </c>
      <c r="L21" s="93">
        <v>158.784302687908</v>
      </c>
      <c r="M21" s="84">
        <f t="shared" si="9"/>
        <v>17</v>
      </c>
      <c r="N21" s="85">
        <f t="shared" si="10"/>
        <v>0.000668812368287308</v>
      </c>
      <c r="O21" s="87">
        <v>0.00396533228935358</v>
      </c>
      <c r="P21" s="84">
        <f t="shared" si="11"/>
        <v>10</v>
      </c>
      <c r="Q21" s="83">
        <v>2359.28402819315</v>
      </c>
      <c r="R21" s="84">
        <f t="shared" si="12"/>
        <v>17</v>
      </c>
      <c r="S21" s="85">
        <f t="shared" si="13"/>
        <v>0.00220261264578058</v>
      </c>
      <c r="T21" s="85">
        <v>-0.139621688525806</v>
      </c>
      <c r="U21" s="84">
        <f t="shared" si="14"/>
        <v>15</v>
      </c>
      <c r="V21" s="89">
        <f t="shared" si="2"/>
        <v>15443.9167747155</v>
      </c>
      <c r="W21" s="35">
        <v>15090.6234703493</v>
      </c>
      <c r="X21" s="94">
        <v>158.157157006438</v>
      </c>
      <c r="Y21" s="35">
        <v>2742.1472586294</v>
      </c>
    </row>
    <row r="23" ht="20.4" customHeight="1" spans="1:25">
      <c r="A23" s="61" t="s">
        <v>335</v>
      </c>
      <c r="B23" s="62"/>
      <c r="C23" s="63"/>
      <c r="D23" s="64"/>
      <c r="E23" s="64"/>
      <c r="F23" s="63"/>
      <c r="G23" s="62"/>
      <c r="H23" s="63"/>
      <c r="I23" s="64"/>
      <c r="J23" s="64"/>
      <c r="K23" s="63"/>
      <c r="L23" s="62"/>
      <c r="M23" s="63"/>
      <c r="N23" s="64"/>
      <c r="O23" s="64"/>
      <c r="P23" s="63"/>
      <c r="Q23" s="62"/>
      <c r="R23" s="63"/>
      <c r="S23" s="64"/>
      <c r="T23" s="64"/>
      <c r="U23" s="65"/>
      <c r="V23" s="66"/>
    </row>
    <row r="24" ht="17.4" customHeight="1" spans="1:25">
      <c r="A24" s="67" t="s">
        <v>230</v>
      </c>
      <c r="B24" s="68" t="s">
        <v>322</v>
      </c>
      <c r="C24" s="63"/>
      <c r="D24" s="64"/>
      <c r="E24" s="64"/>
      <c r="F24" s="65"/>
      <c r="G24" s="69" t="s">
        <v>323</v>
      </c>
      <c r="H24" s="63"/>
      <c r="I24" s="64"/>
      <c r="J24" s="64"/>
      <c r="K24" s="65"/>
      <c r="L24" s="69" t="s">
        <v>324</v>
      </c>
      <c r="M24" s="63"/>
      <c r="N24" s="64"/>
      <c r="O24" s="64"/>
      <c r="P24" s="65"/>
      <c r="Q24" s="70" t="s">
        <v>325</v>
      </c>
      <c r="R24" s="63"/>
      <c r="S24" s="64"/>
      <c r="T24" s="64"/>
      <c r="U24" s="65"/>
      <c r="V24" s="71" t="s">
        <v>336</v>
      </c>
      <c r="W24" s="72"/>
      <c r="X24" s="72"/>
      <c r="Y24" s="73"/>
    </row>
    <row r="25" ht="46.8" customHeight="1" spans="1:25">
      <c r="A25" s="29"/>
      <c r="B25" s="74" t="s">
        <v>327</v>
      </c>
      <c r="C25" s="75" t="s">
        <v>123</v>
      </c>
      <c r="D25" s="74" t="s">
        <v>251</v>
      </c>
      <c r="E25" s="74" t="s">
        <v>12</v>
      </c>
      <c r="F25" s="75" t="s">
        <v>126</v>
      </c>
      <c r="G25" s="74" t="s">
        <v>328</v>
      </c>
      <c r="H25" s="75" t="s">
        <v>123</v>
      </c>
      <c r="I25" s="74" t="s">
        <v>251</v>
      </c>
      <c r="J25" s="76" t="s">
        <v>12</v>
      </c>
      <c r="K25" s="77" t="s">
        <v>126</v>
      </c>
      <c r="L25" s="74" t="s">
        <v>329</v>
      </c>
      <c r="M25" s="75" t="s">
        <v>123</v>
      </c>
      <c r="N25" s="74" t="s">
        <v>251</v>
      </c>
      <c r="O25" s="76" t="s">
        <v>12</v>
      </c>
      <c r="P25" s="77" t="s">
        <v>126</v>
      </c>
      <c r="Q25" s="78" t="s">
        <v>330</v>
      </c>
      <c r="R25" s="75" t="s">
        <v>123</v>
      </c>
      <c r="S25" s="74" t="s">
        <v>251</v>
      </c>
      <c r="T25" s="74" t="s">
        <v>12</v>
      </c>
      <c r="U25" s="77" t="s">
        <v>126</v>
      </c>
      <c r="V25" s="79" t="s">
        <v>331</v>
      </c>
      <c r="W25" s="80" t="s">
        <v>332</v>
      </c>
      <c r="X25" s="80" t="s">
        <v>333</v>
      </c>
      <c r="Y25" s="81" t="s">
        <v>334</v>
      </c>
    </row>
    <row r="26" ht="17.4" customHeight="1" spans="1:25">
      <c r="A26" s="82" t="s">
        <v>80</v>
      </c>
      <c r="B26" s="83">
        <f t="shared" ref="B26:B43" si="15">G26+L26/2+Q26/10</f>
        <v>2213866.78258271</v>
      </c>
      <c r="C26" s="84"/>
      <c r="D26" s="85"/>
      <c r="E26" s="85">
        <f t="shared" ref="E26:E43" si="16">B26/V26-1</f>
        <v>0.00682591578033853</v>
      </c>
      <c r="F26" s="84"/>
      <c r="G26" s="83">
        <v>2181925.70817071</v>
      </c>
      <c r="H26" s="84"/>
      <c r="I26" s="85"/>
      <c r="J26" s="86">
        <v>0.00679191238952814</v>
      </c>
      <c r="K26" s="84"/>
      <c r="L26" s="83">
        <v>33068.03</v>
      </c>
      <c r="M26" s="84"/>
      <c r="N26" s="85"/>
      <c r="O26" s="87">
        <v>0.0390093161359244</v>
      </c>
      <c r="P26" s="84"/>
      <c r="Q26" s="83">
        <v>154070.59412</v>
      </c>
      <c r="R26" s="84"/>
      <c r="S26" s="85"/>
      <c r="T26" s="85">
        <v>-0.0210332677677</v>
      </c>
      <c r="U26" s="88"/>
      <c r="V26" s="89">
        <f t="shared" ref="V26:V43" si="17">W26+X26/2+Y26/10</f>
        <v>2198857.56602407</v>
      </c>
      <c r="W26" s="35">
        <v>2167206.23330407</v>
      </c>
      <c r="X26" s="35">
        <v>31826.5</v>
      </c>
      <c r="Y26" s="35">
        <v>157380.8272</v>
      </c>
    </row>
    <row r="27" ht="17.4" customHeight="1" spans="1:25">
      <c r="A27" s="90" t="s">
        <v>127</v>
      </c>
      <c r="B27" s="83">
        <f t="shared" si="15"/>
        <v>678988.030416391</v>
      </c>
      <c r="C27" s="84">
        <f t="shared" ref="C27:C43" si="18">RANK(B27,B$27:B$43)</f>
        <v>1</v>
      </c>
      <c r="D27" s="85">
        <f t="shared" ref="D27:D43" si="19">B27/B$26</f>
        <v>0.306697781347204</v>
      </c>
      <c r="E27" s="85">
        <f t="shared" si="16"/>
        <v>0.00777569332166261</v>
      </c>
      <c r="F27" s="84">
        <f t="shared" ref="F27:F43" si="20">RANK(E27,E$27:E$43)</f>
        <v>5</v>
      </c>
      <c r="G27" s="91">
        <v>667561.3738886</v>
      </c>
      <c r="H27" s="84">
        <f t="shared" ref="H27:H43" si="21">RANK(G27,G$27:G$43)</f>
        <v>1</v>
      </c>
      <c r="I27" s="85">
        <f t="shared" ref="I27:I43" si="22">G27/G$26</f>
        <v>0.305950551564962</v>
      </c>
      <c r="J27" s="92">
        <v>0.00763068401314881</v>
      </c>
      <c r="K27" s="84">
        <f t="shared" ref="K27:K43" si="23">RANK(J27,J$27:J$43)</f>
        <v>5</v>
      </c>
      <c r="L27" s="93">
        <v>18865.2275355819</v>
      </c>
      <c r="M27" s="84">
        <f t="shared" ref="M27:M43" si="24">RANK(L27,L$27:L$43)</f>
        <v>1</v>
      </c>
      <c r="N27" s="85">
        <f t="shared" ref="N27:N43" si="25">L27/L$26</f>
        <v>0.570497472500838</v>
      </c>
      <c r="O27" s="87">
        <v>0.0147680562454051</v>
      </c>
      <c r="P27" s="84">
        <f t="shared" ref="P27:P43" si="26">RANK(O27,O$27:O$43)</f>
        <v>14</v>
      </c>
      <c r="Q27" s="83">
        <v>19940.4276</v>
      </c>
      <c r="R27" s="84">
        <f t="shared" ref="R27:R43" si="27">RANK(Q27,Q$27:Q$43)</f>
        <v>2</v>
      </c>
      <c r="S27" s="85">
        <f t="shared" ref="S27:S43" si="28">Q27/Q$26</f>
        <v>0.129423967720077</v>
      </c>
      <c r="T27" s="85">
        <v>0.0237284434635732</v>
      </c>
      <c r="U27" s="84">
        <f t="shared" ref="U27:U43" si="29">RANK(T27,T$27:T$43)</f>
        <v>5</v>
      </c>
      <c r="V27" s="89">
        <f t="shared" si="17"/>
        <v>673749.163544939</v>
      </c>
      <c r="W27" s="35">
        <v>662505.999946196</v>
      </c>
      <c r="X27" s="94">
        <v>18590.6793374856</v>
      </c>
      <c r="Y27" s="35">
        <v>19478.2393</v>
      </c>
    </row>
    <row r="28" ht="17.4" customHeight="1" spans="1:25">
      <c r="A28" s="90" t="s">
        <v>128</v>
      </c>
      <c r="B28" s="83">
        <f t="shared" si="15"/>
        <v>47755.3224524472</v>
      </c>
      <c r="C28" s="84">
        <f t="shared" si="18"/>
        <v>11</v>
      </c>
      <c r="D28" s="85">
        <f t="shared" si="19"/>
        <v>0.0215710009419517</v>
      </c>
      <c r="E28" s="85">
        <f t="shared" si="16"/>
        <v>0.0198366982781164</v>
      </c>
      <c r="F28" s="84">
        <f t="shared" si="20"/>
        <v>4</v>
      </c>
      <c r="G28" s="91">
        <v>46579.0049205715</v>
      </c>
      <c r="H28" s="84">
        <f t="shared" si="21"/>
        <v>11</v>
      </c>
      <c r="I28" s="85">
        <f t="shared" si="22"/>
        <v>0.0213476585138284</v>
      </c>
      <c r="J28" s="92">
        <v>0.0224764082701427</v>
      </c>
      <c r="K28" s="84">
        <f t="shared" si="23"/>
        <v>3</v>
      </c>
      <c r="L28" s="93">
        <v>1235.39496364158</v>
      </c>
      <c r="M28" s="84">
        <f t="shared" si="24"/>
        <v>6</v>
      </c>
      <c r="N28" s="85">
        <f t="shared" si="25"/>
        <v>0.0373591944739853</v>
      </c>
      <c r="O28" s="87">
        <v>-0.0403117110383002</v>
      </c>
      <c r="P28" s="84">
        <f t="shared" si="26"/>
        <v>16</v>
      </c>
      <c r="Q28" s="83">
        <v>5586.20050054893</v>
      </c>
      <c r="R28" s="84">
        <f t="shared" si="27"/>
        <v>11</v>
      </c>
      <c r="S28" s="85">
        <f t="shared" si="28"/>
        <v>0.0362574087057654</v>
      </c>
      <c r="T28" s="85">
        <v>-0.110061705051652</v>
      </c>
      <c r="U28" s="84">
        <f t="shared" si="29"/>
        <v>14</v>
      </c>
      <c r="V28" s="89">
        <f t="shared" si="17"/>
        <v>46826.4404811838</v>
      </c>
      <c r="W28" s="35">
        <v>45555.0901163336</v>
      </c>
      <c r="X28" s="94">
        <v>1287.28773483124</v>
      </c>
      <c r="Y28" s="35">
        <v>6277.06497434539</v>
      </c>
    </row>
    <row r="29" ht="17.4" customHeight="1" spans="1:25">
      <c r="A29" s="90" t="s">
        <v>129</v>
      </c>
      <c r="B29" s="83">
        <f t="shared" si="15"/>
        <v>45606.1496617607</v>
      </c>
      <c r="C29" s="84">
        <f t="shared" si="18"/>
        <v>12</v>
      </c>
      <c r="D29" s="85">
        <f t="shared" si="19"/>
        <v>0.0206002231121406</v>
      </c>
      <c r="E29" s="85">
        <f t="shared" si="16"/>
        <v>0.00635396260480436</v>
      </c>
      <c r="F29" s="84">
        <f t="shared" si="20"/>
        <v>6</v>
      </c>
      <c r="G29" s="91">
        <v>43908.8368225006</v>
      </c>
      <c r="H29" s="84">
        <f t="shared" si="21"/>
        <v>12</v>
      </c>
      <c r="I29" s="85">
        <f t="shared" si="22"/>
        <v>0.020123891779667</v>
      </c>
      <c r="J29" s="92">
        <v>0.00522579539226364</v>
      </c>
      <c r="K29" s="84">
        <f t="shared" si="23"/>
        <v>7</v>
      </c>
      <c r="L29" s="93">
        <v>1745.10767586834</v>
      </c>
      <c r="M29" s="84">
        <f t="shared" si="24"/>
        <v>4</v>
      </c>
      <c r="N29" s="85">
        <f t="shared" si="25"/>
        <v>0.0527732579131064</v>
      </c>
      <c r="O29" s="87">
        <v>0.0997167233325973</v>
      </c>
      <c r="P29" s="84">
        <f t="shared" si="26"/>
        <v>6</v>
      </c>
      <c r="Q29" s="83">
        <v>8247.59001325919</v>
      </c>
      <c r="R29" s="84">
        <f t="shared" si="27"/>
        <v>9</v>
      </c>
      <c r="S29" s="85">
        <f t="shared" si="28"/>
        <v>0.0535312404055211</v>
      </c>
      <c r="T29" s="85">
        <v>-0.0230211834301682</v>
      </c>
      <c r="U29" s="84">
        <f t="shared" si="29"/>
        <v>8</v>
      </c>
      <c r="V29" s="89">
        <f t="shared" si="17"/>
        <v>45318.1995167144</v>
      </c>
      <c r="W29" s="35">
        <v>43680.5710953391</v>
      </c>
      <c r="X29" s="94">
        <v>1586.87018105894</v>
      </c>
      <c r="Y29" s="35">
        <v>8441.93330845846</v>
      </c>
    </row>
    <row r="30" ht="17.4" customHeight="1" spans="1:25">
      <c r="A30" s="90" t="s">
        <v>130</v>
      </c>
      <c r="B30" s="83">
        <f t="shared" si="15"/>
        <v>121739.041485917</v>
      </c>
      <c r="C30" s="84">
        <f t="shared" si="18"/>
        <v>6</v>
      </c>
      <c r="D30" s="85">
        <f t="shared" si="19"/>
        <v>0.0549893256647968</v>
      </c>
      <c r="E30" s="85">
        <f t="shared" si="16"/>
        <v>0.0200404921692001</v>
      </c>
      <c r="F30" s="84">
        <f t="shared" si="20"/>
        <v>3</v>
      </c>
      <c r="G30" s="91">
        <v>118603.808813078</v>
      </c>
      <c r="H30" s="84">
        <f t="shared" si="21"/>
        <v>6</v>
      </c>
      <c r="I30" s="85">
        <f t="shared" si="22"/>
        <v>0.0543574001483824</v>
      </c>
      <c r="J30" s="92">
        <v>0.0180614733331663</v>
      </c>
      <c r="K30" s="84">
        <f t="shared" si="23"/>
        <v>4</v>
      </c>
      <c r="L30" s="93">
        <v>2164.99483260279</v>
      </c>
      <c r="M30" s="84">
        <f t="shared" si="24"/>
        <v>2</v>
      </c>
      <c r="N30" s="85">
        <f t="shared" si="25"/>
        <v>0.06547093469441</v>
      </c>
      <c r="O30" s="87">
        <v>0.183178781339671</v>
      </c>
      <c r="P30" s="84">
        <f t="shared" si="26"/>
        <v>4</v>
      </c>
      <c r="Q30" s="83">
        <v>20527.3525653711</v>
      </c>
      <c r="R30" s="84">
        <f t="shared" si="27"/>
        <v>1</v>
      </c>
      <c r="S30" s="85">
        <f t="shared" si="28"/>
        <v>0.133233422526969</v>
      </c>
      <c r="T30" s="85">
        <v>0.0621052870209355</v>
      </c>
      <c r="U30" s="84">
        <f t="shared" si="29"/>
        <v>3</v>
      </c>
      <c r="V30" s="89">
        <f t="shared" si="17"/>
        <v>119347.263584633</v>
      </c>
      <c r="W30" s="35">
        <v>116499.653429341</v>
      </c>
      <c r="X30" s="94">
        <v>1829.81208482411</v>
      </c>
      <c r="Y30" s="35">
        <v>19327.0411288015</v>
      </c>
    </row>
    <row r="31" ht="17.4" customHeight="1" spans="1:25">
      <c r="A31" s="90" t="s">
        <v>131</v>
      </c>
      <c r="B31" s="83">
        <f t="shared" si="15"/>
        <v>524306.16539014</v>
      </c>
      <c r="C31" s="84">
        <f t="shared" si="18"/>
        <v>2</v>
      </c>
      <c r="D31" s="85">
        <f t="shared" si="19"/>
        <v>0.23682823624034</v>
      </c>
      <c r="E31" s="85">
        <f t="shared" si="16"/>
        <v>0.00634972850333737</v>
      </c>
      <c r="F31" s="84">
        <f t="shared" si="20"/>
        <v>7</v>
      </c>
      <c r="G31" s="91">
        <v>521712.638076994</v>
      </c>
      <c r="H31" s="84">
        <f t="shared" si="21"/>
        <v>2</v>
      </c>
      <c r="I31" s="85">
        <f t="shared" si="22"/>
        <v>0.239106508587036</v>
      </c>
      <c r="J31" s="92">
        <v>0.0065566283993157</v>
      </c>
      <c r="K31" s="84">
        <f t="shared" si="23"/>
        <v>6</v>
      </c>
      <c r="L31" s="93">
        <v>1798.46072832929</v>
      </c>
      <c r="M31" s="84">
        <f t="shared" si="24"/>
        <v>3</v>
      </c>
      <c r="N31" s="85">
        <f t="shared" si="25"/>
        <v>0.0543866909619137</v>
      </c>
      <c r="O31" s="87">
        <v>0.0282629732313833</v>
      </c>
      <c r="P31" s="84">
        <f t="shared" si="26"/>
        <v>12</v>
      </c>
      <c r="Q31" s="83">
        <v>16942.9694898181</v>
      </c>
      <c r="R31" s="84">
        <f t="shared" si="27"/>
        <v>4</v>
      </c>
      <c r="S31" s="85">
        <f t="shared" si="28"/>
        <v>0.109968872299031</v>
      </c>
      <c r="T31" s="85">
        <v>-0.063516397721224</v>
      </c>
      <c r="U31" s="84">
        <f t="shared" si="29"/>
        <v>11</v>
      </c>
      <c r="V31" s="89">
        <f t="shared" si="17"/>
        <v>520997.969731555</v>
      </c>
      <c r="W31" s="35">
        <v>518314.244183809</v>
      </c>
      <c r="X31" s="94">
        <v>1749.02799687274</v>
      </c>
      <c r="Y31" s="35">
        <v>18092.1154930959</v>
      </c>
    </row>
    <row r="32" ht="17.4" customHeight="1" spans="1:25">
      <c r="A32" s="90" t="s">
        <v>132</v>
      </c>
      <c r="B32" s="83">
        <f t="shared" si="15"/>
        <v>13160.6484624846</v>
      </c>
      <c r="C32" s="84">
        <f t="shared" si="18"/>
        <v>16</v>
      </c>
      <c r="D32" s="85">
        <f t="shared" si="19"/>
        <v>0.00594464335705482</v>
      </c>
      <c r="E32" s="85">
        <f t="shared" si="16"/>
        <v>-0.0307508043533229</v>
      </c>
      <c r="F32" s="84">
        <f t="shared" si="20"/>
        <v>16</v>
      </c>
      <c r="G32" s="91">
        <v>12779.3314252366</v>
      </c>
      <c r="H32" s="84">
        <f t="shared" si="21"/>
        <v>16</v>
      </c>
      <c r="I32" s="85">
        <f t="shared" si="22"/>
        <v>0.0058569049245726</v>
      </c>
      <c r="J32" s="92">
        <v>-0.0288925651176913</v>
      </c>
      <c r="K32" s="84">
        <f t="shared" si="23"/>
        <v>15</v>
      </c>
      <c r="L32" s="93">
        <v>257.382622604331</v>
      </c>
      <c r="M32" s="84">
        <f t="shared" si="24"/>
        <v>13</v>
      </c>
      <c r="N32" s="85">
        <f t="shared" si="25"/>
        <v>0.00778342775799862</v>
      </c>
      <c r="O32" s="87">
        <v>-0.191863671836432</v>
      </c>
      <c r="P32" s="84">
        <f t="shared" si="26"/>
        <v>17</v>
      </c>
      <c r="Q32" s="83">
        <v>2526.25725945879</v>
      </c>
      <c r="R32" s="84">
        <f t="shared" si="27"/>
        <v>14</v>
      </c>
      <c r="S32" s="85">
        <f t="shared" si="28"/>
        <v>0.016396751592268</v>
      </c>
      <c r="T32" s="85">
        <v>-0.0261140783105963</v>
      </c>
      <c r="U32" s="84">
        <f t="shared" si="29"/>
        <v>9</v>
      </c>
      <c r="V32" s="89">
        <f t="shared" si="17"/>
        <v>13578.188686248</v>
      </c>
      <c r="W32" s="35">
        <v>13159.5444192901</v>
      </c>
      <c r="X32" s="94">
        <v>318.489113327221</v>
      </c>
      <c r="Y32" s="35">
        <v>2593.99710294249</v>
      </c>
    </row>
    <row r="33" ht="17.4" customHeight="1" spans="1:25">
      <c r="A33" s="90" t="s">
        <v>133</v>
      </c>
      <c r="B33" s="83">
        <f t="shared" si="15"/>
        <v>131360.41886197</v>
      </c>
      <c r="C33" s="84">
        <f t="shared" si="18"/>
        <v>4</v>
      </c>
      <c r="D33" s="85">
        <f t="shared" si="19"/>
        <v>0.0593352860684436</v>
      </c>
      <c r="E33" s="85">
        <f t="shared" si="16"/>
        <v>-0.00803155856708027</v>
      </c>
      <c r="F33" s="84">
        <f t="shared" si="20"/>
        <v>10</v>
      </c>
      <c r="G33" s="91">
        <v>130534.34935039</v>
      </c>
      <c r="H33" s="84">
        <f t="shared" si="21"/>
        <v>4</v>
      </c>
      <c r="I33" s="85">
        <f t="shared" si="22"/>
        <v>0.0598252950875343</v>
      </c>
      <c r="J33" s="92">
        <v>-0.00771860827542981</v>
      </c>
      <c r="K33" s="84">
        <f t="shared" si="23"/>
        <v>10</v>
      </c>
      <c r="L33" s="93">
        <v>937.289360187212</v>
      </c>
      <c r="M33" s="84">
        <f t="shared" si="24"/>
        <v>8</v>
      </c>
      <c r="N33" s="85">
        <f t="shared" si="25"/>
        <v>0.0283442757305836</v>
      </c>
      <c r="O33" s="87">
        <v>0.0565357125915027</v>
      </c>
      <c r="P33" s="84">
        <f t="shared" si="26"/>
        <v>10</v>
      </c>
      <c r="Q33" s="83">
        <v>3574.24831486366</v>
      </c>
      <c r="R33" s="84">
        <f t="shared" si="27"/>
        <v>12</v>
      </c>
      <c r="S33" s="85">
        <f t="shared" si="28"/>
        <v>0.0231987702473569</v>
      </c>
      <c r="T33" s="85">
        <v>-0.170115804152315</v>
      </c>
      <c r="U33" s="84">
        <f t="shared" si="29"/>
        <v>16</v>
      </c>
      <c r="V33" s="89">
        <f t="shared" si="17"/>
        <v>132423.989892478</v>
      </c>
      <c r="W33" s="35">
        <v>131549.730186438</v>
      </c>
      <c r="X33" s="94">
        <v>887.13457483439</v>
      </c>
      <c r="Y33" s="35">
        <v>4306.92418622666</v>
      </c>
    </row>
    <row r="34" ht="17.4" customHeight="1" spans="1:25">
      <c r="A34" s="90" t="s">
        <v>134</v>
      </c>
      <c r="B34" s="83">
        <f t="shared" si="15"/>
        <v>50188.1644048627</v>
      </c>
      <c r="C34" s="84">
        <f t="shared" si="18"/>
        <v>10</v>
      </c>
      <c r="D34" s="85">
        <f t="shared" si="19"/>
        <v>0.0226699116675453</v>
      </c>
      <c r="E34" s="85">
        <f t="shared" si="16"/>
        <v>-0.0303537328976347</v>
      </c>
      <c r="F34" s="84">
        <f t="shared" si="20"/>
        <v>15</v>
      </c>
      <c r="G34" s="91">
        <v>48936.5972472223</v>
      </c>
      <c r="H34" s="84">
        <f t="shared" si="21"/>
        <v>10</v>
      </c>
      <c r="I34" s="85">
        <f t="shared" si="22"/>
        <v>0.0224281684128695</v>
      </c>
      <c r="J34" s="92">
        <v>-0.0330551109831281</v>
      </c>
      <c r="K34" s="84">
        <f t="shared" si="23"/>
        <v>16</v>
      </c>
      <c r="L34" s="93">
        <v>831.393177808734</v>
      </c>
      <c r="M34" s="84">
        <f t="shared" si="24"/>
        <v>10</v>
      </c>
      <c r="N34" s="85">
        <f t="shared" si="25"/>
        <v>0.0251419022484476</v>
      </c>
      <c r="O34" s="87">
        <v>0.168260793069791</v>
      </c>
      <c r="P34" s="84">
        <f t="shared" si="26"/>
        <v>5</v>
      </c>
      <c r="Q34" s="83">
        <v>8358.7056873601</v>
      </c>
      <c r="R34" s="84">
        <f t="shared" si="27"/>
        <v>8</v>
      </c>
      <c r="S34" s="85">
        <f t="shared" si="28"/>
        <v>0.0542524401564247</v>
      </c>
      <c r="T34" s="85">
        <v>0.0528320568820213</v>
      </c>
      <c r="U34" s="84">
        <f t="shared" si="29"/>
        <v>4</v>
      </c>
      <c r="V34" s="89">
        <f t="shared" si="17"/>
        <v>51759.2508810889</v>
      </c>
      <c r="W34" s="35">
        <v>50609.4998826437</v>
      </c>
      <c r="X34" s="94">
        <v>711.650329053769</v>
      </c>
      <c r="Y34" s="35">
        <v>7939.25833918331</v>
      </c>
    </row>
    <row r="35" ht="17.4" customHeight="1" spans="1:25">
      <c r="A35" s="90" t="s">
        <v>135</v>
      </c>
      <c r="B35" s="83">
        <f t="shared" si="15"/>
        <v>159316.986783434</v>
      </c>
      <c r="C35" s="84">
        <f t="shared" si="18"/>
        <v>3</v>
      </c>
      <c r="D35" s="85">
        <f t="shared" si="19"/>
        <v>0.0719632220135547</v>
      </c>
      <c r="E35" s="85">
        <f t="shared" si="16"/>
        <v>0.0237930108646025</v>
      </c>
      <c r="F35" s="84">
        <f t="shared" si="20"/>
        <v>2</v>
      </c>
      <c r="G35" s="91">
        <v>157449.939893287</v>
      </c>
      <c r="H35" s="84">
        <f t="shared" si="21"/>
        <v>3</v>
      </c>
      <c r="I35" s="85">
        <f t="shared" si="22"/>
        <v>0.0721609994802666</v>
      </c>
      <c r="J35" s="92">
        <v>0.0249974448357611</v>
      </c>
      <c r="K35" s="84">
        <f t="shared" si="23"/>
        <v>2</v>
      </c>
      <c r="L35" s="93">
        <v>1525.49481874449</v>
      </c>
      <c r="M35" s="84">
        <f t="shared" si="24"/>
        <v>5</v>
      </c>
      <c r="N35" s="85">
        <f t="shared" si="25"/>
        <v>0.0461320138739589</v>
      </c>
      <c r="O35" s="87">
        <v>0.0289910625417669</v>
      </c>
      <c r="P35" s="84">
        <f t="shared" si="26"/>
        <v>11</v>
      </c>
      <c r="Q35" s="83">
        <v>11042.9948077432</v>
      </c>
      <c r="R35" s="84">
        <f t="shared" si="27"/>
        <v>6</v>
      </c>
      <c r="S35" s="85">
        <f t="shared" si="28"/>
        <v>0.0716749024745255</v>
      </c>
      <c r="T35" s="85">
        <v>-0.125731509331899</v>
      </c>
      <c r="U35" s="84">
        <f t="shared" si="29"/>
        <v>15</v>
      </c>
      <c r="V35" s="89">
        <f t="shared" si="17"/>
        <v>155614.450472649</v>
      </c>
      <c r="W35" s="35">
        <v>153610.080382703</v>
      </c>
      <c r="X35" s="94">
        <v>1482.5151298946</v>
      </c>
      <c r="Y35" s="35">
        <v>12631.125249984</v>
      </c>
    </row>
    <row r="36" ht="17.4" customHeight="1" spans="1:25">
      <c r="A36" s="90" t="s">
        <v>136</v>
      </c>
      <c r="B36" s="83">
        <f t="shared" si="15"/>
        <v>119826.885489056</v>
      </c>
      <c r="C36" s="84">
        <f t="shared" si="18"/>
        <v>7</v>
      </c>
      <c r="D36" s="85">
        <f t="shared" si="19"/>
        <v>0.0541256079325901</v>
      </c>
      <c r="E36" s="85">
        <f t="shared" si="16"/>
        <v>-0.00801857945899753</v>
      </c>
      <c r="F36" s="84">
        <f t="shared" si="20"/>
        <v>9</v>
      </c>
      <c r="G36" s="91">
        <v>117942.261653569</v>
      </c>
      <c r="H36" s="84">
        <f t="shared" si="21"/>
        <v>7</v>
      </c>
      <c r="I36" s="85">
        <f t="shared" si="22"/>
        <v>0.0540542059758991</v>
      </c>
      <c r="J36" s="92">
        <v>-0.00866214086082207</v>
      </c>
      <c r="K36" s="84">
        <f t="shared" si="23"/>
        <v>11</v>
      </c>
      <c r="L36" s="93">
        <v>833.131153213417</v>
      </c>
      <c r="M36" s="84">
        <f t="shared" si="24"/>
        <v>9</v>
      </c>
      <c r="N36" s="85">
        <f t="shared" si="25"/>
        <v>0.0251944598215684</v>
      </c>
      <c r="O36" s="87">
        <v>0.0773519377130765</v>
      </c>
      <c r="P36" s="84">
        <f t="shared" si="26"/>
        <v>8</v>
      </c>
      <c r="Q36" s="83">
        <v>14680.5825888079</v>
      </c>
      <c r="R36" s="84">
        <f t="shared" si="27"/>
        <v>5</v>
      </c>
      <c r="S36" s="85">
        <f t="shared" si="28"/>
        <v>0.0952847795042169</v>
      </c>
      <c r="T36" s="85">
        <v>0.0223134078993845</v>
      </c>
      <c r="U36" s="84">
        <f t="shared" si="29"/>
        <v>6</v>
      </c>
      <c r="V36" s="89">
        <f t="shared" si="17"/>
        <v>120795.493754012</v>
      </c>
      <c r="W36" s="35">
        <v>118972.820987573</v>
      </c>
      <c r="X36" s="94">
        <v>773.31383000241</v>
      </c>
      <c r="Y36" s="35">
        <v>14360.1585143768</v>
      </c>
    </row>
    <row r="37" ht="17.4" customHeight="1" spans="1:25">
      <c r="A37" s="90" t="s">
        <v>137</v>
      </c>
      <c r="B37" s="83">
        <f t="shared" si="15"/>
        <v>54217.6721208593</v>
      </c>
      <c r="C37" s="84">
        <f t="shared" si="18"/>
        <v>9</v>
      </c>
      <c r="D37" s="85">
        <f t="shared" si="19"/>
        <v>0.0244900337036579</v>
      </c>
      <c r="E37" s="85">
        <f t="shared" si="16"/>
        <v>-0.00504756564047137</v>
      </c>
      <c r="F37" s="84">
        <f t="shared" si="20"/>
        <v>8</v>
      </c>
      <c r="G37" s="91">
        <v>52831.6080847637</v>
      </c>
      <c r="H37" s="84">
        <f t="shared" si="21"/>
        <v>9</v>
      </c>
      <c r="I37" s="85">
        <f t="shared" si="22"/>
        <v>0.0242132937372358</v>
      </c>
      <c r="J37" s="92">
        <v>-0.00546990391260138</v>
      </c>
      <c r="K37" s="84">
        <f t="shared" si="23"/>
        <v>8</v>
      </c>
      <c r="L37" s="93">
        <v>749.86003879499</v>
      </c>
      <c r="M37" s="84">
        <f t="shared" si="24"/>
        <v>11</v>
      </c>
      <c r="N37" s="85">
        <f t="shared" si="25"/>
        <v>0.0226762839756402</v>
      </c>
      <c r="O37" s="87">
        <v>0.0214499239214039</v>
      </c>
      <c r="P37" s="84">
        <f t="shared" si="26"/>
        <v>13</v>
      </c>
      <c r="Q37" s="83">
        <v>10111.3401669814</v>
      </c>
      <c r="R37" s="84">
        <f t="shared" si="27"/>
        <v>7</v>
      </c>
      <c r="S37" s="85">
        <f t="shared" si="28"/>
        <v>0.0656279689497792</v>
      </c>
      <c r="T37" s="85">
        <v>0.00761768551284625</v>
      </c>
      <c r="U37" s="84">
        <f t="shared" si="29"/>
        <v>7</v>
      </c>
      <c r="V37" s="89">
        <f t="shared" si="17"/>
        <v>54492.7277410607</v>
      </c>
      <c r="W37" s="35">
        <v>53122.1813121691</v>
      </c>
      <c r="X37" s="94">
        <v>734.113363008766</v>
      </c>
      <c r="Y37" s="35">
        <v>10034.8974738718</v>
      </c>
    </row>
    <row r="38" ht="17.4" customHeight="1" spans="1:25">
      <c r="A38" s="90" t="s">
        <v>138</v>
      </c>
      <c r="B38" s="83">
        <f t="shared" si="15"/>
        <v>123813.121317264</v>
      </c>
      <c r="C38" s="84">
        <f t="shared" si="18"/>
        <v>5</v>
      </c>
      <c r="D38" s="85">
        <f t="shared" si="19"/>
        <v>0.0559261841278557</v>
      </c>
      <c r="E38" s="85">
        <f t="shared" si="16"/>
        <v>0.0429218184825593</v>
      </c>
      <c r="F38" s="84">
        <f t="shared" si="20"/>
        <v>1</v>
      </c>
      <c r="G38" s="91">
        <v>122906.96193118</v>
      </c>
      <c r="H38" s="84">
        <f t="shared" si="21"/>
        <v>5</v>
      </c>
      <c r="I38" s="85">
        <f t="shared" si="22"/>
        <v>0.0563295814660084</v>
      </c>
      <c r="J38" s="92">
        <v>0.0431974722501334</v>
      </c>
      <c r="K38" s="84">
        <f t="shared" si="23"/>
        <v>1</v>
      </c>
      <c r="L38" s="93">
        <v>362.160798113747</v>
      </c>
      <c r="M38" s="84">
        <f t="shared" si="24"/>
        <v>12</v>
      </c>
      <c r="N38" s="85">
        <f t="shared" si="25"/>
        <v>0.0109519919424818</v>
      </c>
      <c r="O38" s="87">
        <v>0.217783892287223</v>
      </c>
      <c r="P38" s="84">
        <f t="shared" si="26"/>
        <v>2</v>
      </c>
      <c r="Q38" s="83">
        <v>7250.78987027164</v>
      </c>
      <c r="R38" s="84">
        <f t="shared" si="27"/>
        <v>10</v>
      </c>
      <c r="S38" s="85">
        <f t="shared" si="28"/>
        <v>0.0470614779652518</v>
      </c>
      <c r="T38" s="85">
        <v>-0.0349132721002841</v>
      </c>
      <c r="U38" s="84">
        <f t="shared" si="29"/>
        <v>10</v>
      </c>
      <c r="V38" s="89">
        <f t="shared" si="17"/>
        <v>118717.548260148</v>
      </c>
      <c r="W38" s="35">
        <v>117817.541932953</v>
      </c>
      <c r="X38" s="94">
        <v>297.393322745912</v>
      </c>
      <c r="Y38" s="35">
        <v>7513.09665821566</v>
      </c>
    </row>
    <row r="39" ht="17.4" customHeight="1" spans="1:25">
      <c r="A39" s="90" t="s">
        <v>147</v>
      </c>
      <c r="B39" s="83">
        <f t="shared" si="15"/>
        <v>63005.9940999368</v>
      </c>
      <c r="C39" s="84">
        <f t="shared" si="18"/>
        <v>8</v>
      </c>
      <c r="D39" s="85">
        <f t="shared" si="19"/>
        <v>0.0284597043488017</v>
      </c>
      <c r="E39" s="85">
        <f t="shared" si="16"/>
        <v>-0.00983539648725218</v>
      </c>
      <c r="F39" s="84">
        <f t="shared" si="20"/>
        <v>12</v>
      </c>
      <c r="G39" s="91">
        <v>60602.9127503037</v>
      </c>
      <c r="H39" s="84">
        <f t="shared" si="21"/>
        <v>8</v>
      </c>
      <c r="I39" s="85">
        <f t="shared" si="22"/>
        <v>0.0277749661793536</v>
      </c>
      <c r="J39" s="92">
        <v>-0.00870559594762343</v>
      </c>
      <c r="K39" s="84">
        <f t="shared" si="23"/>
        <v>12</v>
      </c>
      <c r="L39" s="93">
        <v>1143.76520422355</v>
      </c>
      <c r="M39" s="84">
        <f t="shared" si="24"/>
        <v>7</v>
      </c>
      <c r="N39" s="85">
        <f t="shared" si="25"/>
        <v>0.0345882474469616</v>
      </c>
      <c r="O39" s="87">
        <v>0.0812244188462252</v>
      </c>
      <c r="P39" s="84">
        <f t="shared" si="26"/>
        <v>7</v>
      </c>
      <c r="Q39" s="83">
        <v>18311.9874752134</v>
      </c>
      <c r="R39" s="84">
        <f t="shared" si="27"/>
        <v>3</v>
      </c>
      <c r="S39" s="85">
        <f t="shared" si="28"/>
        <v>0.118854526263142</v>
      </c>
      <c r="T39" s="85">
        <v>-0.0694119644892566</v>
      </c>
      <c r="U39" s="84">
        <f t="shared" si="29"/>
        <v>12</v>
      </c>
      <c r="V39" s="89">
        <f t="shared" si="17"/>
        <v>63631.8384604077</v>
      </c>
      <c r="W39" s="35">
        <v>61135.1304945949</v>
      </c>
      <c r="X39" s="94">
        <v>1057.84255727785</v>
      </c>
      <c r="Y39" s="35">
        <v>19677.8668717389</v>
      </c>
    </row>
    <row r="40" ht="17.4" customHeight="1" spans="1:25">
      <c r="A40" s="90" t="s">
        <v>107</v>
      </c>
      <c r="B40" s="83">
        <f t="shared" si="15"/>
        <v>17358.7290675166</v>
      </c>
      <c r="C40" s="84">
        <f t="shared" si="18"/>
        <v>15</v>
      </c>
      <c r="D40" s="85">
        <f t="shared" si="19"/>
        <v>0.00784090949106966</v>
      </c>
      <c r="E40" s="85">
        <f t="shared" si="16"/>
        <v>-0.0103745643543118</v>
      </c>
      <c r="F40" s="84">
        <f t="shared" si="20"/>
        <v>13</v>
      </c>
      <c r="G40" s="91">
        <v>17130.949578965</v>
      </c>
      <c r="H40" s="84">
        <f t="shared" si="21"/>
        <v>15</v>
      </c>
      <c r="I40" s="85">
        <f t="shared" si="22"/>
        <v>0.00785129828885297</v>
      </c>
      <c r="J40" s="92">
        <v>-0.0132539966880474</v>
      </c>
      <c r="K40" s="84">
        <f t="shared" si="23"/>
        <v>13</v>
      </c>
      <c r="L40" s="93">
        <v>249.641551338828</v>
      </c>
      <c r="M40" s="84">
        <f t="shared" si="24"/>
        <v>14</v>
      </c>
      <c r="N40" s="85">
        <f t="shared" si="25"/>
        <v>0.00754933243192376</v>
      </c>
      <c r="O40" s="87">
        <v>0.311167593404907</v>
      </c>
      <c r="P40" s="84">
        <f t="shared" si="26"/>
        <v>1</v>
      </c>
      <c r="Q40" s="83">
        <v>1029.5871288222</v>
      </c>
      <c r="R40" s="84">
        <f t="shared" si="27"/>
        <v>16</v>
      </c>
      <c r="S40" s="85">
        <f t="shared" si="28"/>
        <v>0.0066825673951792</v>
      </c>
      <c r="T40" s="85">
        <v>0.219093347380379</v>
      </c>
      <c r="U40" s="84">
        <f t="shared" si="29"/>
        <v>2</v>
      </c>
      <c r="V40" s="89">
        <f t="shared" si="17"/>
        <v>17540.7062533622</v>
      </c>
      <c r="W40" s="35">
        <v>17361.0529168256</v>
      </c>
      <c r="X40" s="94">
        <v>190.39637083353</v>
      </c>
      <c r="Y40" s="35">
        <v>844.551511198551</v>
      </c>
    </row>
    <row r="41" ht="17.4" customHeight="1" spans="1:25">
      <c r="A41" s="90" t="s">
        <v>109</v>
      </c>
      <c r="B41" s="83">
        <f t="shared" si="15"/>
        <v>32093.0565408455</v>
      </c>
      <c r="C41" s="84">
        <f t="shared" si="18"/>
        <v>13</v>
      </c>
      <c r="D41" s="85">
        <f t="shared" si="19"/>
        <v>0.0144963810800782</v>
      </c>
      <c r="E41" s="85">
        <f t="shared" si="16"/>
        <v>-0.00810372715305108</v>
      </c>
      <c r="F41" s="84">
        <f t="shared" si="20"/>
        <v>11</v>
      </c>
      <c r="G41" s="91">
        <v>31750.4031487241</v>
      </c>
      <c r="H41" s="84">
        <f t="shared" si="21"/>
        <v>13</v>
      </c>
      <c r="I41" s="85">
        <f t="shared" si="22"/>
        <v>0.0145515509670323</v>
      </c>
      <c r="J41" s="92">
        <v>-0.00751833607383845</v>
      </c>
      <c r="K41" s="84">
        <f t="shared" si="23"/>
        <v>9</v>
      </c>
      <c r="L41" s="93">
        <v>190.998942925756</v>
      </c>
      <c r="M41" s="84">
        <f t="shared" si="24"/>
        <v>15</v>
      </c>
      <c r="N41" s="85">
        <f t="shared" si="25"/>
        <v>0.00577593956839146</v>
      </c>
      <c r="O41" s="87">
        <v>0.0611520409713706</v>
      </c>
      <c r="P41" s="84">
        <f t="shared" si="26"/>
        <v>9</v>
      </c>
      <c r="Q41" s="83">
        <v>2471.53920658563</v>
      </c>
      <c r="R41" s="84">
        <f t="shared" si="27"/>
        <v>15</v>
      </c>
      <c r="S41" s="85">
        <f t="shared" si="28"/>
        <v>0.0160416023622304</v>
      </c>
      <c r="T41" s="85">
        <v>-0.0990865066931892</v>
      </c>
      <c r="U41" s="84">
        <f t="shared" si="29"/>
        <v>13</v>
      </c>
      <c r="V41" s="89">
        <f t="shared" si="17"/>
        <v>32355.2546968765</v>
      </c>
      <c r="W41" s="35">
        <v>31990.9216489931</v>
      </c>
      <c r="X41" s="94">
        <v>179.992061034832</v>
      </c>
      <c r="Y41" s="35">
        <v>2743.37017365987</v>
      </c>
    </row>
    <row r="42" ht="17.4" customHeight="1" spans="1:25">
      <c r="A42" s="90" t="s">
        <v>111</v>
      </c>
      <c r="B42" s="83">
        <f t="shared" si="15"/>
        <v>28130.7423761819</v>
      </c>
      <c r="C42" s="84">
        <f t="shared" si="18"/>
        <v>14</v>
      </c>
      <c r="D42" s="85">
        <f t="shared" si="19"/>
        <v>0.0127066102610584</v>
      </c>
      <c r="E42" s="85">
        <f t="shared" si="16"/>
        <v>-0.0140492972695208</v>
      </c>
      <c r="F42" s="84">
        <f t="shared" si="20"/>
        <v>14</v>
      </c>
      <c r="G42" s="91">
        <v>27736.3147958672</v>
      </c>
      <c r="H42" s="84">
        <f t="shared" si="21"/>
        <v>14</v>
      </c>
      <c r="I42" s="85">
        <f t="shared" si="22"/>
        <v>0.0127118511377369</v>
      </c>
      <c r="J42" s="92">
        <v>-0.0172626960270515</v>
      </c>
      <c r="K42" s="84">
        <f t="shared" si="23"/>
        <v>14</v>
      </c>
      <c r="L42" s="93">
        <v>153.827740628603</v>
      </c>
      <c r="M42" s="84">
        <f t="shared" si="24"/>
        <v>16</v>
      </c>
      <c r="N42" s="85">
        <f t="shared" si="25"/>
        <v>0.00465185681241377</v>
      </c>
      <c r="O42" s="87">
        <v>0.217473354763693</v>
      </c>
      <c r="P42" s="84">
        <f t="shared" si="26"/>
        <v>3</v>
      </c>
      <c r="Q42" s="83">
        <v>3175.13710000367</v>
      </c>
      <c r="R42" s="84">
        <f t="shared" si="27"/>
        <v>13</v>
      </c>
      <c r="S42" s="85">
        <f t="shared" si="28"/>
        <v>0.0206083264502159</v>
      </c>
      <c r="T42" s="85">
        <v>0.296571321971043</v>
      </c>
      <c r="U42" s="84">
        <f t="shared" si="29"/>
        <v>1</v>
      </c>
      <c r="V42" s="89">
        <f t="shared" si="17"/>
        <v>28531.5911822741</v>
      </c>
      <c r="W42" s="35">
        <v>28223.5289977663</v>
      </c>
      <c r="X42" s="94">
        <v>126.349985424084</v>
      </c>
      <c r="Y42" s="35">
        <v>2448.87191795731</v>
      </c>
    </row>
    <row r="43" ht="17.4" customHeight="1" spans="1:25">
      <c r="A43" s="90" t="s">
        <v>112</v>
      </c>
      <c r="B43" s="83">
        <f t="shared" si="15"/>
        <v>2999.65365164077</v>
      </c>
      <c r="C43" s="84">
        <f t="shared" si="18"/>
        <v>17</v>
      </c>
      <c r="D43" s="85">
        <f t="shared" si="19"/>
        <v>0.00135493864185512</v>
      </c>
      <c r="E43" s="85">
        <f t="shared" si="16"/>
        <v>-0.0559672242034169</v>
      </c>
      <c r="F43" s="84">
        <f t="shared" si="20"/>
        <v>17</v>
      </c>
      <c r="G43" s="91">
        <v>2958.41578945545</v>
      </c>
      <c r="H43" s="84">
        <f t="shared" si="21"/>
        <v>17</v>
      </c>
      <c r="I43" s="85">
        <f t="shared" si="22"/>
        <v>0.00135587374876101</v>
      </c>
      <c r="J43" s="92">
        <v>-0.0452538919002105</v>
      </c>
      <c r="K43" s="84">
        <f t="shared" si="23"/>
        <v>17</v>
      </c>
      <c r="L43" s="93">
        <v>23.8988553924558</v>
      </c>
      <c r="M43" s="84">
        <f t="shared" si="24"/>
        <v>17</v>
      </c>
      <c r="N43" s="85">
        <f t="shared" si="25"/>
        <v>0.000722717845376813</v>
      </c>
      <c r="O43" s="87">
        <v>0.0112909441467637</v>
      </c>
      <c r="P43" s="84">
        <f t="shared" si="26"/>
        <v>15</v>
      </c>
      <c r="Q43" s="83">
        <v>292.884344890928</v>
      </c>
      <c r="R43" s="84">
        <f t="shared" si="27"/>
        <v>17</v>
      </c>
      <c r="S43" s="85">
        <f t="shared" si="28"/>
        <v>0.00190097498204499</v>
      </c>
      <c r="T43" s="85">
        <v>-0.563064608932509</v>
      </c>
      <c r="U43" s="84">
        <f t="shared" si="29"/>
        <v>17</v>
      </c>
      <c r="V43" s="89">
        <f t="shared" si="17"/>
        <v>3177.48888444009</v>
      </c>
      <c r="W43" s="35">
        <v>3098.64137110076</v>
      </c>
      <c r="X43" s="94">
        <v>23.6320274899915</v>
      </c>
      <c r="Y43" s="35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13" customWidth="1"/>
    <col min="2" max="2" width="40" style="15" customWidth="1"/>
    <col min="3" max="3" width="12.7777777777778" style="16" hidden="1" customWidth="1"/>
    <col min="4" max="4" width="13.2222222222222" style="16" hidden="1" customWidth="1"/>
    <col min="5" max="5" width="13.3333333333333" style="16" hidden="1" customWidth="1"/>
    <col min="6" max="6" width="13.1111111111111" style="16" hidden="1" customWidth="1"/>
    <col min="7" max="7" width="13.3333333333333" style="16" hidden="1" customWidth="1"/>
    <col min="8" max="8" width="13.1111111111111" style="16" hidden="1" customWidth="1"/>
    <col min="9" max="9" width="13.3333333333333" style="16" hidden="1" customWidth="1"/>
    <col min="10" max="10" width="13.1111111111111" style="16" hidden="1" customWidth="1"/>
    <col min="11" max="11" width="13.3333333333333" style="16" hidden="1" customWidth="1"/>
    <col min="12" max="12" width="13.1111111111111" style="16" hidden="1" customWidth="1"/>
    <col min="13" max="13" width="11" style="16" customWidth="1"/>
    <col min="14" max="14" width="13.1111111111111" style="16" customWidth="1"/>
    <col min="15" max="15" width="11" style="16" customWidth="1"/>
    <col min="16" max="16" width="13.1111111111111" style="16" customWidth="1"/>
    <col min="17" max="17" width="11" style="16" customWidth="1"/>
    <col min="18" max="18" width="13.1111111111111" style="16" customWidth="1"/>
    <col min="19" max="19" width="11" style="16" customWidth="1"/>
    <col min="20" max="20" width="13.1111111111111" style="16" customWidth="1"/>
    <col min="21" max="21" width="11" style="16" customWidth="1"/>
    <col min="22" max="22" width="13.1111111111111" style="16" customWidth="1"/>
    <col min="23" max="23" width="11" style="16" customWidth="1"/>
    <col min="24" max="24" width="13.1111111111111" style="16" customWidth="1"/>
    <col min="25" max="25" width="13" style="16" customWidth="1"/>
    <col min="26" max="26" width="13.1111111111111" style="16" customWidth="1"/>
    <col min="27" max="27" width="14.4444444444444" style="16" customWidth="1"/>
    <col min="28" max="28" width="13" style="16" customWidth="1"/>
    <col min="29" max="29" width="11" style="16" customWidth="1"/>
    <col min="30" max="30" width="13.1111111111111" style="16" customWidth="1"/>
    <col min="31" max="31" width="11" style="16" customWidth="1"/>
    <col min="32" max="32" width="13.1111111111111" style="16" customWidth="1"/>
    <col min="33" max="33" width="11" style="16" customWidth="1"/>
    <col min="34" max="34" width="13.1111111111111" style="16" customWidth="1"/>
    <col min="35" max="35" width="11" style="16" customWidth="1"/>
    <col min="36" max="36" width="13.1111111111111" style="16" customWidth="1"/>
    <col min="37" max="37" width="11" style="16" customWidth="1"/>
    <col min="38" max="38" width="13.1111111111111" style="16" customWidth="1"/>
    <col min="39" max="39" width="11" style="16" customWidth="1"/>
    <col min="40" max="40" width="13.1111111111111" style="16" customWidth="1"/>
    <col min="41" max="41" width="11" style="16" customWidth="1"/>
    <col min="42" max="42" width="13.1111111111111" style="16" customWidth="1"/>
    <col min="43" max="43" width="11" style="16" customWidth="1"/>
    <col min="44" max="44" width="13.1111111111111" style="16" customWidth="1"/>
    <col min="45" max="45" width="11" style="16" customWidth="1"/>
    <col min="46" max="46" width="13.1111111111111" style="16" customWidth="1"/>
    <col min="47" max="47" width="11" style="16" customWidth="1"/>
    <col min="48" max="48" width="13.1111111111111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ht="50.55" customHeight="1" spans="1:68">
      <c r="A1" s="17" t="s">
        <v>291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Y5-(网约车!AT5-网约车!AT7)-(出租!AT5-出租!AT7)-(公交!AT5-公交!AT7)-班线包车!AT4</f>
        <v>-7726.41500000006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292</v>
      </c>
      <c r="B2" s="21"/>
      <c r="Y2" s="19">
        <f>Y99-网约车!AT6+网约车!AT8-出租!AT6+出租!AT8-公交!AT6+公交!AT8-班线包车!AT5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152</v>
      </c>
      <c r="BK3" s="24" t="s">
        <v>153</v>
      </c>
      <c r="BL3" s="24" t="s">
        <v>154</v>
      </c>
      <c r="BM3" s="24" t="s">
        <v>270</v>
      </c>
      <c r="BN3" s="24" t="s">
        <v>271</v>
      </c>
      <c r="BO3" s="24" t="s">
        <v>272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337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0.176990692058611</v>
      </c>
      <c r="K5" s="35">
        <f>K6+K7+K8+K9</f>
        <v>3921.6288</v>
      </c>
      <c r="L5" s="36">
        <f t="shared" ref="L5:L12" si="4">K5/AK5-1</f>
        <v>0.205268659744392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36" si="11">E5+C5+G5+I5+K5+M5+O5+Q5+S5+U5</f>
        <v>37748.9791</v>
      </c>
      <c r="Z5" s="36">
        <f t="shared" ref="Z5:Z36" si="12">Y5/SUM(AC5,AE5,AG5,AI5,AK5,AM5,AO5,AQ5,AS5,AU5)-1</f>
        <v>0.181970574893722</v>
      </c>
      <c r="AA5" s="37"/>
      <c r="AB5" s="38"/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36" si="13">AC5+AE5+AG5+AI5+AK5+AM5+AO5+AQ5+AS5+AU5+AW5+AY5</f>
        <v>38582.9771</v>
      </c>
      <c r="BB5" s="37">
        <f>BA5/BP5-1</f>
        <v>0.00666189581229526</v>
      </c>
      <c r="BC5" s="39"/>
      <c r="BD5" s="38">
        <f t="shared" ref="BD5:BO5" si="14">BD6+BD7+BD8+BD9</f>
        <v>2690.9613</v>
      </c>
      <c r="BE5" s="38">
        <f t="shared" si="14"/>
        <v>2973.77254</v>
      </c>
      <c r="BF5" s="38">
        <f t="shared" si="14"/>
        <v>3212.2607</v>
      </c>
      <c r="BG5" s="38">
        <f t="shared" si="14"/>
        <v>3300.8055</v>
      </c>
      <c r="BH5" s="38">
        <f t="shared" si="14"/>
        <v>3312.2793</v>
      </c>
      <c r="BI5" s="38">
        <f t="shared" si="14"/>
        <v>3239.6253</v>
      </c>
      <c r="BJ5" s="38">
        <f t="shared" si="14"/>
        <v>3327.9743</v>
      </c>
      <c r="BK5" s="38">
        <f t="shared" si="14"/>
        <v>3350.3167</v>
      </c>
      <c r="BL5" s="38">
        <f t="shared" si="14"/>
        <v>3221.9435</v>
      </c>
      <c r="BM5" s="38">
        <f t="shared" si="14"/>
        <v>3310.7424</v>
      </c>
      <c r="BN5" s="38">
        <f t="shared" si="14"/>
        <v>3201.2931</v>
      </c>
      <c r="BO5" s="38">
        <f t="shared" si="14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338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/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3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295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/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3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296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/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3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339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/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3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337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/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3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338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中口径明细!AB11</f>
        <v>337.1413</v>
      </c>
      <c r="J11" s="36">
        <f t="shared" si="3"/>
        <v>4.70989463986004</v>
      </c>
      <c r="K11" s="35">
        <f>中口径明细!AD11</f>
        <v>314.0756</v>
      </c>
      <c r="L11" s="36">
        <f t="shared" si="4"/>
        <v>4.34352100910392</v>
      </c>
      <c r="M11" s="35">
        <f>中口径明细!AF11</f>
        <v>322.6236</v>
      </c>
      <c r="N11" s="36">
        <f t="shared" si="5"/>
        <v>4.97571732071844</v>
      </c>
      <c r="O11" s="35">
        <f>中口径明细!AH11</f>
        <v>346.4243</v>
      </c>
      <c r="P11" s="36">
        <f t="shared" si="6"/>
        <v>6.0320683670466</v>
      </c>
      <c r="Q11" s="35">
        <f>中口径明细!AJ11</f>
        <v>324.3908</v>
      </c>
      <c r="R11" s="36">
        <f t="shared" si="7"/>
        <v>6.35603397840294</v>
      </c>
      <c r="S11" s="35">
        <f>中口径明细!AL11</f>
        <v>349.4122</v>
      </c>
      <c r="T11" s="36">
        <f t="shared" si="8"/>
        <v>5.51611254913955</v>
      </c>
      <c r="U11" s="35">
        <f>中口径明细!AN11</f>
        <v>330.8522</v>
      </c>
      <c r="V11" s="36">
        <f t="shared" si="9"/>
        <v>0.108624731432125</v>
      </c>
      <c r="W11" s="35">
        <f>中口径明细!AP11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/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3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295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公交!Z9-公交!Z11</f>
        <v>22.5499999999993</v>
      </c>
      <c r="H12" s="36">
        <f t="shared" si="2"/>
        <v>-0.226680384087814</v>
      </c>
      <c r="I12" s="35">
        <f>公交!AB9-公交!AB11</f>
        <v>21.9799999999996</v>
      </c>
      <c r="J12" s="36">
        <f t="shared" si="3"/>
        <v>-0.21890547263684</v>
      </c>
      <c r="K12" s="35">
        <f>公交!AD9-公交!AD11</f>
        <v>20.1999999999998</v>
      </c>
      <c r="L12" s="36">
        <f t="shared" si="4"/>
        <v>-0.304407713498629</v>
      </c>
      <c r="M12" s="35">
        <f>公交!AF9-公交!AF11</f>
        <v>24.3399999999992</v>
      </c>
      <c r="N12" s="36">
        <f t="shared" si="5"/>
        <v>-0.0832391713748003</v>
      </c>
      <c r="O12" s="35">
        <f>公交!AH9-公交!AH11</f>
        <v>23.4499999999998</v>
      </c>
      <c r="P12" s="36">
        <f t="shared" si="6"/>
        <v>-0.0966872110939978</v>
      </c>
      <c r="Q12" s="35">
        <f>公交!AJ9-公交!AJ11</f>
        <v>23.6400000000003</v>
      </c>
      <c r="R12" s="36">
        <f t="shared" si="7"/>
        <v>0.0159003008165379</v>
      </c>
      <c r="S12" s="35">
        <f>公交!AL9-公交!AL11</f>
        <v>25.8499999999995</v>
      </c>
      <c r="T12" s="36">
        <f t="shared" si="8"/>
        <v>0.00897736143636041</v>
      </c>
      <c r="U12" s="35">
        <f>公交!AN9-公交!AN11</f>
        <v>29.0299999999997</v>
      </c>
      <c r="V12" s="36">
        <f t="shared" si="9"/>
        <v>0.0419956927494636</v>
      </c>
      <c r="W12" s="35">
        <f>公交!AP9-公交!AP11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/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3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296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 t="e">
        <f t="shared" si="12"/>
        <v>#DIV/0!</v>
      </c>
      <c r="AA13" s="37"/>
      <c r="AB13" s="38"/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3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339</v>
      </c>
      <c r="C14" s="35">
        <v>0</v>
      </c>
      <c r="D14" s="36" t="e">
        <f t="shared" ref="D14:D45" si="15">C14/AC14-1</f>
        <v>#DIV/0!</v>
      </c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 t="e">
        <f t="shared" si="12"/>
        <v>#DIV/0!</v>
      </c>
      <c r="AA14" s="37"/>
      <c r="AB14" s="38"/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3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337</v>
      </c>
      <c r="C15" s="35">
        <f>C16+C17+C18+C19</f>
        <v>201.449730048038</v>
      </c>
      <c r="D15" s="36">
        <f t="shared" si="15"/>
        <v>0.226657009669969</v>
      </c>
      <c r="E15" s="35">
        <f>E16+E17+E18+E19</f>
        <v>214.071191900456</v>
      </c>
      <c r="F15" s="36">
        <f t="shared" ref="F15:F46" si="16">E15/AE15-1</f>
        <v>0.0238223078319051</v>
      </c>
      <c r="G15" s="35">
        <f>G16+G17+G18+G19</f>
        <v>206.997961551911</v>
      </c>
      <c r="H15" s="36">
        <f t="shared" ref="H15:H46" si="17">G15/AG15-1</f>
        <v>-0.0350071518648306</v>
      </c>
      <c r="I15" s="35">
        <f>I16+I17+I18+I19</f>
        <v>223.816841546017</v>
      </c>
      <c r="J15" s="36">
        <f t="shared" ref="J15:J46" si="18">I15/AI15-1</f>
        <v>-0.0162797359384047</v>
      </c>
      <c r="K15" s="35">
        <f>K16+K17+K18+K19</f>
        <v>213.911876644223</v>
      </c>
      <c r="L15" s="36">
        <f t="shared" ref="L15:L46" si="19">K15/AK15-1</f>
        <v>-0.0593618880492156</v>
      </c>
      <c r="M15" s="35">
        <f>M16+M17+M18+M19</f>
        <v>237.568886430818</v>
      </c>
      <c r="N15" s="36">
        <f t="shared" ref="N15:N46" si="20">M15/AM15-1</f>
        <v>-0.00173304366618288</v>
      </c>
      <c r="O15" s="35">
        <f>O16+O17+O18+O19</f>
        <v>227.522787463384</v>
      </c>
      <c r="P15" s="36">
        <f t="shared" ref="P15:P46" si="21">O15/AO15-1</f>
        <v>-0.0822901241127968</v>
      </c>
      <c r="Q15" s="35">
        <f>Q16+Q17+Q18+Q19</f>
        <v>238.979670904874</v>
      </c>
      <c r="R15" s="36">
        <f t="shared" ref="R15:R46" si="22">Q15/AQ15-1</f>
        <v>0.224845142759077</v>
      </c>
      <c r="S15" s="35">
        <f>S16+S17+S18+S19</f>
        <v>214.193664207899</v>
      </c>
      <c r="T15" s="36">
        <f t="shared" ref="T15:T46" si="23">S15/AS15-1</f>
        <v>-0.0555765242321564</v>
      </c>
      <c r="U15" s="35">
        <f>U16+U17+U18+U19</f>
        <v>232.359760875951</v>
      </c>
      <c r="V15" s="36">
        <f t="shared" ref="V15:V46" si="24">U15/AU15-1</f>
        <v>0.0792614714164011</v>
      </c>
      <c r="W15" s="35">
        <f>W16+W17+W18+W19</f>
        <v>216.709081737897</v>
      </c>
      <c r="X15" s="36">
        <f t="shared" ref="X15:X46" si="25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/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3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338</v>
      </c>
      <c r="C16" s="35">
        <v>98.0308</v>
      </c>
      <c r="D16" s="36">
        <f t="shared" si="15"/>
        <v>-0.0195665045125776</v>
      </c>
      <c r="E16" s="35">
        <v>96.9201</v>
      </c>
      <c r="F16" s="36">
        <f t="shared" si="16"/>
        <v>-0.0829836494601701</v>
      </c>
      <c r="G16" s="35">
        <v>92.5724</v>
      </c>
      <c r="H16" s="36">
        <f t="shared" si="17"/>
        <v>-0.020566822865474</v>
      </c>
      <c r="I16" s="35">
        <f>中口径明细!AB16</f>
        <v>92.9372</v>
      </c>
      <c r="J16" s="36">
        <f t="shared" si="18"/>
        <v>-0.0403708942971903</v>
      </c>
      <c r="K16" s="35">
        <f>中口径明细!AD16</f>
        <v>91.2247</v>
      </c>
      <c r="L16" s="36">
        <f t="shared" si="19"/>
        <v>-0.0443132127734023</v>
      </c>
      <c r="M16" s="35">
        <f>中口径明细!AF16</f>
        <v>87.0116</v>
      </c>
      <c r="N16" s="36">
        <f t="shared" si="20"/>
        <v>-0.029643235117325</v>
      </c>
      <c r="O16" s="35">
        <f>中口径明细!AH16</f>
        <v>86.8392</v>
      </c>
      <c r="P16" s="36">
        <f t="shared" si="21"/>
        <v>-0.0226457013009376</v>
      </c>
      <c r="Q16" s="35">
        <f>中口径明细!AJ16</f>
        <v>84.9174</v>
      </c>
      <c r="R16" s="36">
        <f t="shared" si="22"/>
        <v>-0.0143533672261299</v>
      </c>
      <c r="S16" s="35">
        <f>中口径明细!AL16</f>
        <v>84.3078</v>
      </c>
      <c r="T16" s="36">
        <f t="shared" si="23"/>
        <v>-0.0112818371803383</v>
      </c>
      <c r="U16" s="35">
        <f>中口径明细!AN16</f>
        <v>84.4888</v>
      </c>
      <c r="V16" s="36">
        <f t="shared" si="24"/>
        <v>-0.0417185568296529</v>
      </c>
      <c r="W16" s="35">
        <f>中口径明细!AP16</f>
        <v>82.6305</v>
      </c>
      <c r="X16" s="36">
        <f t="shared" si="25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/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3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295</v>
      </c>
      <c r="C17" s="35">
        <v>83.5</v>
      </c>
      <c r="D17" s="36">
        <f t="shared" si="15"/>
        <v>0.646942800788955</v>
      </c>
      <c r="E17" s="35">
        <v>84.4</v>
      </c>
      <c r="F17" s="36">
        <f t="shared" si="16"/>
        <v>-0.0105509964830011</v>
      </c>
      <c r="G17" s="35">
        <f>公交!Z13-公交!Z15</f>
        <v>86.5999999999999</v>
      </c>
      <c r="H17" s="36">
        <f t="shared" si="17"/>
        <v>-0.0746874666096805</v>
      </c>
      <c r="I17" s="35">
        <f>公交!AB13-公交!AB15</f>
        <v>94.3</v>
      </c>
      <c r="J17" s="36">
        <f t="shared" si="18"/>
        <v>-0.0459328207203556</v>
      </c>
      <c r="K17" s="35">
        <f>公交!AD13-公交!AD15</f>
        <v>87</v>
      </c>
      <c r="L17" s="36">
        <f t="shared" si="19"/>
        <v>-0.147393179145433</v>
      </c>
      <c r="M17" s="35">
        <f>公交!AF13-公交!AF15</f>
        <v>121.3</v>
      </c>
      <c r="N17" s="36">
        <f t="shared" si="20"/>
        <v>0.259867054424593</v>
      </c>
      <c r="O17" s="35">
        <f>公交!AH13-公交!AH15</f>
        <v>101.6</v>
      </c>
      <c r="P17" s="36">
        <f t="shared" si="21"/>
        <v>0.0774125132555676</v>
      </c>
      <c r="Q17" s="35">
        <f>公交!AJ13-公交!AJ15</f>
        <v>102.4</v>
      </c>
      <c r="R17" s="36">
        <f t="shared" si="22"/>
        <v>0.193473193473192</v>
      </c>
      <c r="S17" s="35">
        <f>公交!AL13-公交!AL15</f>
        <v>92.6</v>
      </c>
      <c r="T17" s="36">
        <f t="shared" si="23"/>
        <v>0.0792540792540783</v>
      </c>
      <c r="U17" s="35">
        <f>公交!AN13-公交!AN15</f>
        <v>109.5</v>
      </c>
      <c r="V17" s="36">
        <f t="shared" si="24"/>
        <v>0.157505285412263</v>
      </c>
      <c r="W17" s="35">
        <f>公交!AP13-公交!AP15</f>
        <v>101.1</v>
      </c>
      <c r="X17" s="36">
        <f t="shared" si="25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/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3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296</v>
      </c>
      <c r="C18" s="35">
        <v>16.17</v>
      </c>
      <c r="D18" s="36">
        <f t="shared" si="15"/>
        <v>1.01119402985074</v>
      </c>
      <c r="E18" s="35">
        <v>26.68</v>
      </c>
      <c r="F18" s="36">
        <f t="shared" si="16"/>
        <v>1.120826709062</v>
      </c>
      <c r="G18" s="35">
        <f>出租!Z13-出租!Z15</f>
        <v>19.62</v>
      </c>
      <c r="H18" s="36">
        <f t="shared" si="17"/>
        <v>0.0833793484262841</v>
      </c>
      <c r="I18" s="35">
        <f>出租!AB13-出租!AB15</f>
        <v>26.18</v>
      </c>
      <c r="J18" s="36">
        <f t="shared" si="18"/>
        <v>0.181407942238268</v>
      </c>
      <c r="K18" s="35">
        <f>出租!AD13-出租!AD15</f>
        <v>22.84</v>
      </c>
      <c r="L18" s="36">
        <f t="shared" si="19"/>
        <v>0.165306122448981</v>
      </c>
      <c r="M18" s="35">
        <f>出租!AF13-出租!AF15</f>
        <v>18.5</v>
      </c>
      <c r="N18" s="36">
        <f t="shared" si="20"/>
        <v>-0.483816964285714</v>
      </c>
      <c r="O18" s="35">
        <f>出租!AH13-出租!AH15</f>
        <v>24.13</v>
      </c>
      <c r="P18" s="36">
        <f t="shared" si="21"/>
        <v>-0.454072398190045</v>
      </c>
      <c r="Q18" s="35">
        <f>出租!AJ13-出租!AJ15</f>
        <v>32.73</v>
      </c>
      <c r="R18" s="36">
        <f t="shared" si="22"/>
        <v>1.13363754889179</v>
      </c>
      <c r="S18" s="35">
        <f>出租!AL13-出租!AL15</f>
        <v>22.3</v>
      </c>
      <c r="T18" s="36">
        <f t="shared" si="23"/>
        <v>-0.392204960479696</v>
      </c>
      <c r="U18" s="35">
        <f>出租!AN13-出租!AN15</f>
        <v>22.42</v>
      </c>
      <c r="V18" s="36">
        <f t="shared" si="24"/>
        <v>0.109351806036616</v>
      </c>
      <c r="W18" s="35">
        <f>出租!AP13-出租!AP15</f>
        <v>21.35</v>
      </c>
      <c r="X18" s="36">
        <f t="shared" si="25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/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3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339</v>
      </c>
      <c r="C19" s="35">
        <v>3.74893004803786</v>
      </c>
      <c r="D19" s="36">
        <f t="shared" si="15"/>
        <v>-0.318304007280721</v>
      </c>
      <c r="E19" s="35">
        <v>6.0710919004564</v>
      </c>
      <c r="F19" s="36">
        <f t="shared" si="16"/>
        <v>0.0999388598795869</v>
      </c>
      <c r="G19" s="35">
        <v>8.20556155191098</v>
      </c>
      <c r="H19" s="36">
        <f t="shared" si="17"/>
        <v>-0.0102989237941398</v>
      </c>
      <c r="I19" s="35">
        <f>网约车!AB13-网约车!AB15</f>
        <v>10.399641546017</v>
      </c>
      <c r="J19" s="36">
        <f t="shared" si="18"/>
        <v>0.0750294187081726</v>
      </c>
      <c r="K19" s="35">
        <f>网约车!AD13-网约车!AD15</f>
        <v>12.8471766442227</v>
      </c>
      <c r="L19" s="36">
        <f t="shared" si="19"/>
        <v>0.245261593174868</v>
      </c>
      <c r="M19" s="35">
        <f>网约车!AF13-网约车!AF15</f>
        <v>10.757286430818</v>
      </c>
      <c r="N19" s="36">
        <f t="shared" si="20"/>
        <v>-0.33562623985065</v>
      </c>
      <c r="O19" s="35">
        <f>网约车!AH13-网约车!AH15</f>
        <v>14.9535874633843</v>
      </c>
      <c r="P19" s="36">
        <f t="shared" si="21"/>
        <v>-0.273153063483838</v>
      </c>
      <c r="Q19" s="35">
        <f>网约车!AJ13-网约车!AJ15</f>
        <v>18.932270904874</v>
      </c>
      <c r="R19" s="36">
        <f t="shared" si="22"/>
        <v>1.42221132721583</v>
      </c>
      <c r="S19" s="35">
        <f>网约车!AL13-网约车!AL15</f>
        <v>14.985864207899</v>
      </c>
      <c r="T19" s="36">
        <f t="shared" si="23"/>
        <v>-0.212866401321259</v>
      </c>
      <c r="U19" s="35">
        <f>网约车!AN13-网约车!AN15</f>
        <v>15.950960875951</v>
      </c>
      <c r="V19" s="36">
        <f t="shared" si="24"/>
        <v>0.294915249309271</v>
      </c>
      <c r="W19" s="35">
        <f>网约车!AP13-网约车!AP15</f>
        <v>11.628581737897</v>
      </c>
      <c r="X19" s="36">
        <f t="shared" si="25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/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3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337</v>
      </c>
      <c r="C20" s="35">
        <f>C21+C22+C23+C24</f>
        <v>181.067294845928</v>
      </c>
      <c r="D20" s="36">
        <f t="shared" si="15"/>
        <v>0.0150931209429719</v>
      </c>
      <c r="E20" s="35">
        <f>E21+E22+E23+E24</f>
        <v>192.997599082575</v>
      </c>
      <c r="F20" s="36">
        <f t="shared" si="16"/>
        <v>0.0542698045366405</v>
      </c>
      <c r="G20" s="35">
        <f>G21+G22+G23+G24</f>
        <v>183.998451615423</v>
      </c>
      <c r="H20" s="36">
        <f t="shared" si="17"/>
        <v>-0.0111860882464424</v>
      </c>
      <c r="I20" s="35">
        <f>I21+I22+I23+I24</f>
        <v>199.347676257536</v>
      </c>
      <c r="J20" s="36">
        <f t="shared" si="18"/>
        <v>-0.0515437621047929</v>
      </c>
      <c r="K20" s="35">
        <f>K21+K22+K23+K24</f>
        <v>196.379628573456</v>
      </c>
      <c r="L20" s="36">
        <f t="shared" si="19"/>
        <v>-0.00637369874897031</v>
      </c>
      <c r="M20" s="35">
        <f>M21+M22+M23+M24</f>
        <v>195.159183059584</v>
      </c>
      <c r="N20" s="36">
        <f t="shared" si="20"/>
        <v>0.164528348647252</v>
      </c>
      <c r="O20" s="35">
        <f>O21+O22+O23+O24</f>
        <v>177.109620330129</v>
      </c>
      <c r="P20" s="36">
        <f t="shared" si="21"/>
        <v>-0.0557867092503527</v>
      </c>
      <c r="Q20" s="35">
        <f>Q21+Q22+Q23+Q24</f>
        <v>187.390387154702</v>
      </c>
      <c r="R20" s="36">
        <f t="shared" si="22"/>
        <v>0.00109898303632816</v>
      </c>
      <c r="S20" s="35">
        <f>S21+S22+S23+S24</f>
        <v>186.770232421292</v>
      </c>
      <c r="T20" s="36">
        <f t="shared" si="23"/>
        <v>-0.00928994484577295</v>
      </c>
      <c r="U20" s="35">
        <f>U21+U22+U23+U24</f>
        <v>188.886559282417</v>
      </c>
      <c r="V20" s="36">
        <f t="shared" si="24"/>
        <v>-0.0769650880799216</v>
      </c>
      <c r="W20" s="35">
        <f>W21+W22+W23+W24</f>
        <v>175.246740808832</v>
      </c>
      <c r="X20" s="36">
        <f t="shared" si="25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/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3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338</v>
      </c>
      <c r="C21" s="35">
        <v>51.1957</v>
      </c>
      <c r="D21" s="36">
        <f t="shared" si="15"/>
        <v>0.0203407666352433</v>
      </c>
      <c r="E21" s="35">
        <v>70.2152</v>
      </c>
      <c r="F21" s="36">
        <f t="shared" si="16"/>
        <v>0.0474487017878853</v>
      </c>
      <c r="G21" s="35">
        <v>57.9371</v>
      </c>
      <c r="H21" s="36">
        <f t="shared" si="17"/>
        <v>0.0215336819722194</v>
      </c>
      <c r="I21" s="35">
        <f>中口径明细!AB21</f>
        <v>64.5687</v>
      </c>
      <c r="J21" s="36">
        <f t="shared" si="18"/>
        <v>0.00209828738156403</v>
      </c>
      <c r="K21" s="35">
        <f>中口径明细!AD21</f>
        <v>63.9781</v>
      </c>
      <c r="L21" s="36">
        <f t="shared" si="19"/>
        <v>0.031450667689872</v>
      </c>
      <c r="M21" s="35">
        <f>中口径明细!AF21</f>
        <v>61.3862</v>
      </c>
      <c r="N21" s="36">
        <f t="shared" si="20"/>
        <v>0.0449568645608494</v>
      </c>
      <c r="O21" s="35">
        <f>中口径明细!AH21</f>
        <v>52.2756</v>
      </c>
      <c r="P21" s="36">
        <f t="shared" si="21"/>
        <v>-0.0667954364098234</v>
      </c>
      <c r="Q21" s="35">
        <f>中口径明细!AJ21</f>
        <v>60.4119</v>
      </c>
      <c r="R21" s="36">
        <f t="shared" si="22"/>
        <v>-0.0114851310178715</v>
      </c>
      <c r="S21" s="35">
        <f>中口径明细!AL21</f>
        <v>52.0508</v>
      </c>
      <c r="T21" s="36">
        <f t="shared" si="23"/>
        <v>-0.0505542452615084</v>
      </c>
      <c r="U21" s="35">
        <f>中口径明细!AN21</f>
        <v>57.7711</v>
      </c>
      <c r="V21" s="36">
        <f t="shared" si="24"/>
        <v>-0.163188831528509</v>
      </c>
      <c r="W21" s="35">
        <f>中口径明细!AP21</f>
        <v>49.1361</v>
      </c>
      <c r="X21" s="36">
        <f t="shared" si="25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/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3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295</v>
      </c>
      <c r="C22" s="35">
        <v>117.43</v>
      </c>
      <c r="D22" s="36">
        <f t="shared" si="15"/>
        <v>0.0689058802111779</v>
      </c>
      <c r="E22" s="35">
        <v>109.4</v>
      </c>
      <c r="F22" s="36">
        <f t="shared" si="16"/>
        <v>0.168304143528405</v>
      </c>
      <c r="G22" s="35">
        <f>公交!Z17-公交!Z19</f>
        <v>111.98</v>
      </c>
      <c r="H22" s="36">
        <f t="shared" si="17"/>
        <v>0.0521469510476349</v>
      </c>
      <c r="I22" s="35">
        <f>公交!AB17-公交!AB19</f>
        <v>119.15</v>
      </c>
      <c r="J22" s="36">
        <f t="shared" si="18"/>
        <v>-0.0390354060811366</v>
      </c>
      <c r="K22" s="35">
        <f>公交!AD17-公交!AD19</f>
        <v>118.93</v>
      </c>
      <c r="L22" s="36">
        <f t="shared" si="19"/>
        <v>0.0390529442600041</v>
      </c>
      <c r="M22" s="35">
        <f>公交!AF17-公交!AF19</f>
        <v>122.27</v>
      </c>
      <c r="N22" s="36">
        <f t="shared" si="20"/>
        <v>0.294410332415837</v>
      </c>
      <c r="O22" s="35">
        <f>公交!AH17-公交!AH19</f>
        <v>110.02</v>
      </c>
      <c r="P22" s="36">
        <f t="shared" si="21"/>
        <v>-0.0547297877824557</v>
      </c>
      <c r="Q22" s="35">
        <f>公交!AJ17-公交!AJ19</f>
        <v>108.33</v>
      </c>
      <c r="R22" s="36">
        <f t="shared" si="22"/>
        <v>-0.0439502250463337</v>
      </c>
      <c r="S22" s="35">
        <f>公交!AL17-公交!AL19</f>
        <v>115.44</v>
      </c>
      <c r="T22" s="36">
        <f t="shared" si="23"/>
        <v>-0.0244232231893852</v>
      </c>
      <c r="U22" s="35">
        <f>公交!AN17-公交!AN19</f>
        <v>115.24</v>
      </c>
      <c r="V22" s="36">
        <f t="shared" si="24"/>
        <v>-0.0446820857166541</v>
      </c>
      <c r="W22" s="35">
        <f>公交!AP17-公交!AP19</f>
        <v>114.41</v>
      </c>
      <c r="X22" s="36">
        <f t="shared" si="25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/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3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296</v>
      </c>
      <c r="C23" s="35">
        <v>7.30000000000001</v>
      </c>
      <c r="D23" s="36">
        <f t="shared" si="15"/>
        <v>-0.168564920273344</v>
      </c>
      <c r="E23" s="35">
        <v>6.64000000000004</v>
      </c>
      <c r="F23" s="36">
        <f t="shared" si="16"/>
        <v>-0.481249999999997</v>
      </c>
      <c r="G23" s="35">
        <f>出租!Z17-出租!Z19</f>
        <v>5.17000000000002</v>
      </c>
      <c r="H23" s="36">
        <f t="shared" si="17"/>
        <v>-0.526989935956078</v>
      </c>
      <c r="I23" s="35">
        <f>出租!AB17-出租!AB19</f>
        <v>5.02999999999997</v>
      </c>
      <c r="J23" s="36">
        <f t="shared" si="18"/>
        <v>-0.4964964964965</v>
      </c>
      <c r="K23" s="35">
        <f>出租!AD17-出租!AD19</f>
        <v>4.13999999999999</v>
      </c>
      <c r="L23" s="36">
        <f t="shared" si="19"/>
        <v>-0.537430167597766</v>
      </c>
      <c r="M23" s="35">
        <f>出租!AF17-出租!AF19</f>
        <v>3.5</v>
      </c>
      <c r="N23" s="36">
        <f t="shared" si="20"/>
        <v>-0.452269170579033</v>
      </c>
      <c r="O23" s="35">
        <f>出租!AH17-出租!AH19</f>
        <v>4.38999999999999</v>
      </c>
      <c r="P23" s="36">
        <f t="shared" si="21"/>
        <v>-0.32771822358346</v>
      </c>
      <c r="Q23" s="35">
        <f>出租!AJ17-出租!AJ19</f>
        <v>4.83999999999997</v>
      </c>
      <c r="R23" s="36">
        <f t="shared" si="22"/>
        <v>-0.272180451127827</v>
      </c>
      <c r="S23" s="35">
        <f>出租!AL17-出租!AL19</f>
        <v>4.90000000000003</v>
      </c>
      <c r="T23" s="36">
        <f t="shared" si="23"/>
        <v>-0.300998573466471</v>
      </c>
      <c r="U23" s="35">
        <f>出租!AN17-出租!AN19</f>
        <v>4.65000000000003</v>
      </c>
      <c r="V23" s="36">
        <f t="shared" si="24"/>
        <v>-0.378342245989302</v>
      </c>
      <c r="W23" s="35">
        <f>出租!AP17-出租!AP19</f>
        <v>4.12</v>
      </c>
      <c r="X23" s="36">
        <f t="shared" si="25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/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3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339</v>
      </c>
      <c r="C24" s="35">
        <v>5.1415948459279</v>
      </c>
      <c r="D24" s="36">
        <f t="shared" si="15"/>
        <v>-0.462173937460271</v>
      </c>
      <c r="E24" s="35">
        <v>6.74239908257471</v>
      </c>
      <c r="F24" s="36">
        <f t="shared" si="16"/>
        <v>-0.296810911418147</v>
      </c>
      <c r="G24" s="35">
        <v>8.91135161542365</v>
      </c>
      <c r="H24" s="36">
        <f t="shared" si="17"/>
        <v>-0.257644619455369</v>
      </c>
      <c r="I24" s="35">
        <f>网约车!AB17-网约车!AB19</f>
        <v>10.598976257536</v>
      </c>
      <c r="J24" s="36">
        <f t="shared" si="18"/>
        <v>-0.0993167286735789</v>
      </c>
      <c r="K24" s="35">
        <f>网约车!AD17-网约车!AD19</f>
        <v>9.33152857345601</v>
      </c>
      <c r="L24" s="36">
        <f t="shared" si="19"/>
        <v>-0.235247361675129</v>
      </c>
      <c r="M24" s="35">
        <f>网约车!AF17-网约车!AF19</f>
        <v>8.00298305958401</v>
      </c>
      <c r="N24" s="36">
        <f t="shared" si="20"/>
        <v>0.00146703461635855</v>
      </c>
      <c r="O24" s="35">
        <f>网约车!AH17-网约车!AH19</f>
        <v>10.424020330129</v>
      </c>
      <c r="P24" s="36">
        <f t="shared" si="21"/>
        <v>0.206980855497863</v>
      </c>
      <c r="Q24" s="35">
        <f>网约车!AJ17-网约车!AJ19</f>
        <v>13.808487154702</v>
      </c>
      <c r="R24" s="36">
        <f t="shared" si="22"/>
        <v>1.25965816216521</v>
      </c>
      <c r="S24" s="35">
        <f>网约车!AL17-网约车!AL19</f>
        <v>14.379432421292</v>
      </c>
      <c r="T24" s="36">
        <f t="shared" si="23"/>
        <v>0.720174392531864</v>
      </c>
      <c r="U24" s="35">
        <f>网约车!AN17-网约车!AN19</f>
        <v>11.225459282417</v>
      </c>
      <c r="V24" s="36">
        <f t="shared" si="24"/>
        <v>0.498882433962185</v>
      </c>
      <c r="W24" s="35">
        <f>网约车!AP17-网约车!AP19</f>
        <v>7.58064080883199</v>
      </c>
      <c r="X24" s="36">
        <f t="shared" si="25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/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3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337</v>
      </c>
      <c r="C25" s="35">
        <f>C26+C27+C28+C29</f>
        <v>373.806940559727</v>
      </c>
      <c r="D25" s="36">
        <f t="shared" si="15"/>
        <v>0.18573630178785</v>
      </c>
      <c r="E25" s="35">
        <f>E26+E27+E28+E29</f>
        <v>422.609247175509</v>
      </c>
      <c r="F25" s="36">
        <f t="shared" si="16"/>
        <v>0.298597924012588</v>
      </c>
      <c r="G25" s="35">
        <f>G26+G27+G28+G29</f>
        <v>401.710596561371</v>
      </c>
      <c r="H25" s="36">
        <f t="shared" si="17"/>
        <v>0.24385264597885</v>
      </c>
      <c r="I25" s="35">
        <f>I26+I27+I28+I29</f>
        <v>435.108424930323</v>
      </c>
      <c r="J25" s="36">
        <f t="shared" si="18"/>
        <v>0.186163557412557</v>
      </c>
      <c r="K25" s="35">
        <f>K26+K27+K28+K29</f>
        <v>454.527586069974</v>
      </c>
      <c r="L25" s="36">
        <f t="shared" si="19"/>
        <v>0.174491810941378</v>
      </c>
      <c r="M25" s="35">
        <f>M26+M27+M28+M29</f>
        <v>396.686543176686</v>
      </c>
      <c r="N25" s="36">
        <f t="shared" si="20"/>
        <v>0.0975872291584643</v>
      </c>
      <c r="O25" s="35">
        <f>O26+O27+O28+O29</f>
        <v>438.477200085422</v>
      </c>
      <c r="P25" s="36">
        <f t="shared" si="21"/>
        <v>0.156316985739628</v>
      </c>
      <c r="Q25" s="35">
        <f>Q26+Q27+Q28+Q29</f>
        <v>448.226241774466</v>
      </c>
      <c r="R25" s="36">
        <f t="shared" si="22"/>
        <v>0.138325045427855</v>
      </c>
      <c r="S25" s="35">
        <f>S26+S27+S28+S29</f>
        <v>400.724048429599</v>
      </c>
      <c r="T25" s="36">
        <f t="shared" si="23"/>
        <v>0.094222221995268</v>
      </c>
      <c r="U25" s="35">
        <f>U26+U27+U28+U29</f>
        <v>440.358474255103</v>
      </c>
      <c r="V25" s="36">
        <f t="shared" si="24"/>
        <v>0.118293235493963</v>
      </c>
      <c r="W25" s="35">
        <f>W26+W27+W28+W29</f>
        <v>379.09868962034</v>
      </c>
      <c r="X25" s="36">
        <f t="shared" si="25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/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3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338</v>
      </c>
      <c r="C26" s="35">
        <v>248.1529</v>
      </c>
      <c r="D26" s="36">
        <f t="shared" si="15"/>
        <v>0.222662372247687</v>
      </c>
      <c r="E26" s="35">
        <v>252.0732</v>
      </c>
      <c r="F26" s="36">
        <f t="shared" si="16"/>
        <v>0.191134859685367</v>
      </c>
      <c r="G26" s="35">
        <v>236.835</v>
      </c>
      <c r="H26" s="36">
        <f t="shared" si="17"/>
        <v>0.0597483559100653</v>
      </c>
      <c r="I26" s="35">
        <f>中口径明细!AB26</f>
        <v>261.1492</v>
      </c>
      <c r="J26" s="36">
        <f t="shared" si="18"/>
        <v>-0.0425839716737435</v>
      </c>
      <c r="K26" s="35">
        <f>中口径明细!AD26</f>
        <v>264.1072</v>
      </c>
      <c r="L26" s="36">
        <f t="shared" si="19"/>
        <v>-0.0766208952092929</v>
      </c>
      <c r="M26" s="35">
        <f>中口径明细!AF26</f>
        <v>229.7584</v>
      </c>
      <c r="N26" s="36">
        <f t="shared" si="20"/>
        <v>-0.158123381805577</v>
      </c>
      <c r="O26" s="35">
        <f>中口径明细!AH26</f>
        <v>250.0405</v>
      </c>
      <c r="P26" s="36">
        <f t="shared" si="21"/>
        <v>-0.127215031251113</v>
      </c>
      <c r="Q26" s="35">
        <f>中口径明细!AJ26</f>
        <v>270.8413</v>
      </c>
      <c r="R26" s="36">
        <f t="shared" si="22"/>
        <v>-0.121594264379268</v>
      </c>
      <c r="S26" s="35">
        <f>中口径明细!AL26</f>
        <v>233.6322</v>
      </c>
      <c r="T26" s="36">
        <f t="shared" si="23"/>
        <v>-0.167069408208797</v>
      </c>
      <c r="U26" s="35">
        <f>中口径明细!AN26</f>
        <v>265.9381</v>
      </c>
      <c r="V26" s="36">
        <f t="shared" si="24"/>
        <v>-0.136215450726024</v>
      </c>
      <c r="W26" s="35">
        <f>中口径明细!AP26</f>
        <v>236.3336</v>
      </c>
      <c r="X26" s="36">
        <f t="shared" si="25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/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3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295</v>
      </c>
      <c r="C27" s="35">
        <v>47.03</v>
      </c>
      <c r="D27" s="36">
        <f t="shared" si="15"/>
        <v>0.686872309899564</v>
      </c>
      <c r="E27" s="35">
        <v>48.26</v>
      </c>
      <c r="F27" s="36">
        <f t="shared" si="16"/>
        <v>0.661845730027542</v>
      </c>
      <c r="G27" s="35">
        <f>公交!Z21-公交!Z23</f>
        <v>47.5899999999999</v>
      </c>
      <c r="H27" s="36">
        <f t="shared" si="17"/>
        <v>0.665733286664336</v>
      </c>
      <c r="I27" s="35">
        <f>公交!AB21-公交!AB23</f>
        <v>44.8199999999999</v>
      </c>
      <c r="J27" s="36">
        <f t="shared" si="18"/>
        <v>0.625680087051146</v>
      </c>
      <c r="K27" s="35">
        <f>公交!AD21-公交!AD23</f>
        <v>41.29</v>
      </c>
      <c r="L27" s="36">
        <f t="shared" si="19"/>
        <v>0.37771104437771</v>
      </c>
      <c r="M27" s="35">
        <f>公交!AF21-公交!AF23</f>
        <v>42.1200000000001</v>
      </c>
      <c r="N27" s="36">
        <f t="shared" si="20"/>
        <v>0.461992363762592</v>
      </c>
      <c r="O27" s="35">
        <f>公交!AH21-公交!AH23</f>
        <v>39.2</v>
      </c>
      <c r="P27" s="36">
        <f t="shared" si="21"/>
        <v>0.512345679012347</v>
      </c>
      <c r="Q27" s="35">
        <f>公交!AJ21-公交!AJ23</f>
        <v>41.1900000000001</v>
      </c>
      <c r="R27" s="36">
        <f t="shared" si="22"/>
        <v>0.433693003828752</v>
      </c>
      <c r="S27" s="35">
        <f>公交!AL21-公交!AL23</f>
        <v>43.9299999999999</v>
      </c>
      <c r="T27" s="36">
        <f t="shared" si="23"/>
        <v>0.566690442225385</v>
      </c>
      <c r="U27" s="35">
        <f>公交!AN21-公交!AN23</f>
        <v>43.63</v>
      </c>
      <c r="V27" s="36">
        <f t="shared" si="24"/>
        <v>0.502410468319559</v>
      </c>
      <c r="W27" s="35">
        <f>公交!AP21-公交!AP23</f>
        <v>42.5899999999999</v>
      </c>
      <c r="X27" s="36">
        <f t="shared" si="25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/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3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296</v>
      </c>
      <c r="C28" s="35">
        <v>52.39</v>
      </c>
      <c r="D28" s="36">
        <f t="shared" si="15"/>
        <v>-0.110526315789474</v>
      </c>
      <c r="E28" s="35">
        <v>88.07</v>
      </c>
      <c r="F28" s="36">
        <f t="shared" si="16"/>
        <v>0.3891167192429</v>
      </c>
      <c r="G28" s="35">
        <f>出租!Z21-出租!Z23</f>
        <v>87.86</v>
      </c>
      <c r="H28" s="36">
        <f t="shared" si="17"/>
        <v>0.874546618305953</v>
      </c>
      <c r="I28" s="35">
        <f>出租!AB21-出租!AB23</f>
        <v>90.71</v>
      </c>
      <c r="J28" s="36">
        <f t="shared" si="18"/>
        <v>1.08720662678325</v>
      </c>
      <c r="K28" s="35">
        <f>出租!AD21-出租!AD23</f>
        <v>94.8099999999999</v>
      </c>
      <c r="L28" s="36">
        <f t="shared" si="19"/>
        <v>1.08419432842383</v>
      </c>
      <c r="M28" s="35">
        <f>出租!AF21-出租!AF23</f>
        <v>81.42</v>
      </c>
      <c r="N28" s="36">
        <f t="shared" si="20"/>
        <v>1.12529365700861</v>
      </c>
      <c r="O28" s="35">
        <f>出租!AH21-出租!AH23</f>
        <v>95.0600000000001</v>
      </c>
      <c r="P28" s="36">
        <f t="shared" si="21"/>
        <v>1.25956738768719</v>
      </c>
      <c r="Q28" s="35">
        <f>出租!AJ21-出租!AJ23</f>
        <v>84.7299999999999</v>
      </c>
      <c r="R28" s="36">
        <f t="shared" si="22"/>
        <v>1.24628844114528</v>
      </c>
      <c r="S28" s="35">
        <f>出租!AL21-出租!AL23</f>
        <v>80.34</v>
      </c>
      <c r="T28" s="36">
        <f t="shared" si="23"/>
        <v>1.22857142857143</v>
      </c>
      <c r="U28" s="35">
        <f>出租!AN21-出租!AN23</f>
        <v>88.15</v>
      </c>
      <c r="V28" s="36">
        <f t="shared" si="24"/>
        <v>1.46091568955891</v>
      </c>
      <c r="W28" s="35">
        <f>出租!AP21-出租!AP23</f>
        <v>68.14</v>
      </c>
      <c r="X28" s="36">
        <f t="shared" si="25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/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3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339</v>
      </c>
      <c r="C29" s="35">
        <v>26.2340405597274</v>
      </c>
      <c r="D29" s="36">
        <f t="shared" si="15"/>
        <v>0.0283055450392142</v>
      </c>
      <c r="E29" s="35">
        <v>34.2060471755087</v>
      </c>
      <c r="F29" s="36">
        <f t="shared" si="16"/>
        <v>0.600610558959682</v>
      </c>
      <c r="G29" s="35">
        <v>29.4255965613714</v>
      </c>
      <c r="H29" s="36">
        <f t="shared" si="17"/>
        <v>0.224309599101653</v>
      </c>
      <c r="I29" s="35">
        <f>网约车!AB21-网约车!AB23</f>
        <v>38.429224930323</v>
      </c>
      <c r="J29" s="36">
        <f t="shared" si="18"/>
        <v>0.668998291168002</v>
      </c>
      <c r="K29" s="35">
        <f>网约车!AD21-网约车!AD23</f>
        <v>54.320386069974</v>
      </c>
      <c r="L29" s="36">
        <f t="shared" si="19"/>
        <v>1.12880321264535</v>
      </c>
      <c r="M29" s="35">
        <f>网约车!AF21-网约车!AF23</f>
        <v>43.388143176686</v>
      </c>
      <c r="N29" s="36">
        <f t="shared" si="20"/>
        <v>1.02893656973899</v>
      </c>
      <c r="O29" s="35">
        <f>网约车!AH21-网约车!AH23</f>
        <v>54.176700085422</v>
      </c>
      <c r="P29" s="36">
        <f t="shared" si="21"/>
        <v>1.19110389763807</v>
      </c>
      <c r="Q29" s="35">
        <f>网约车!AJ21-网约车!AJ23</f>
        <v>51.464941774466</v>
      </c>
      <c r="R29" s="36">
        <f t="shared" si="22"/>
        <v>1.71201432399385</v>
      </c>
      <c r="S29" s="35">
        <f>网约车!AL21-网约车!AL23</f>
        <v>42.821848429599</v>
      </c>
      <c r="T29" s="36">
        <f t="shared" si="23"/>
        <v>0.979380984607493</v>
      </c>
      <c r="U29" s="35">
        <f>网约车!AN21-网约车!AN23</f>
        <v>42.640374255103</v>
      </c>
      <c r="V29" s="36">
        <f t="shared" si="24"/>
        <v>1.02646182280363</v>
      </c>
      <c r="W29" s="35">
        <f>网约车!AP21-网约车!AP23</f>
        <v>32.03508962034</v>
      </c>
      <c r="X29" s="36">
        <f t="shared" si="25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/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3"/>
        <v>264.285942562337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337</v>
      </c>
      <c r="C30" s="35">
        <f>C31+C32+C33+C34</f>
        <v>301.961013532482</v>
      </c>
      <c r="D30" s="36">
        <f t="shared" si="15"/>
        <v>-0.00341146786553814</v>
      </c>
      <c r="E30" s="35">
        <f>E31+E32+E33+E34</f>
        <v>306.379512350119</v>
      </c>
      <c r="F30" s="36">
        <f t="shared" si="16"/>
        <v>-0.0118296744484527</v>
      </c>
      <c r="G30" s="35">
        <f>G31+G32+G33+G34</f>
        <v>382.267777544685</v>
      </c>
      <c r="H30" s="36">
        <f t="shared" si="17"/>
        <v>0.336589425903241</v>
      </c>
      <c r="I30" s="35">
        <f>I31+I32+I33+I34</f>
        <v>390.702535497264</v>
      </c>
      <c r="J30" s="36">
        <f t="shared" si="18"/>
        <v>0.334681598670931</v>
      </c>
      <c r="K30" s="35">
        <f>K31+K32+K33+K34</f>
        <v>459.447204779276</v>
      </c>
      <c r="L30" s="36">
        <f t="shared" si="19"/>
        <v>0.573721945930673</v>
      </c>
      <c r="M30" s="35">
        <f>M31+M32+M33+M34</f>
        <v>420.811995277591</v>
      </c>
      <c r="N30" s="36">
        <f t="shared" si="20"/>
        <v>0.498686490141142</v>
      </c>
      <c r="O30" s="35">
        <f>O31+O32+O33+O34</f>
        <v>427.766024905848</v>
      </c>
      <c r="P30" s="36">
        <f t="shared" si="21"/>
        <v>0.518713444371102</v>
      </c>
      <c r="Q30" s="35">
        <f>Q31+Q32+Q33+Q34</f>
        <v>426.634149810383</v>
      </c>
      <c r="R30" s="36">
        <f t="shared" si="22"/>
        <v>0.529653641282153</v>
      </c>
      <c r="S30" s="35">
        <f>S31+S32+S33+S34</f>
        <v>411.201082297246</v>
      </c>
      <c r="T30" s="36">
        <f t="shared" si="23"/>
        <v>0.558396013638389</v>
      </c>
      <c r="U30" s="35">
        <f>U31+U32+U33+U34</f>
        <v>444.9421016148</v>
      </c>
      <c r="V30" s="36">
        <f t="shared" si="24"/>
        <v>0.599843009312466</v>
      </c>
      <c r="W30" s="35">
        <f>W31+W32+W33+W34</f>
        <v>403.027839057959</v>
      </c>
      <c r="X30" s="36">
        <f t="shared" si="25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/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3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338</v>
      </c>
      <c r="C31" s="35">
        <v>143.2257</v>
      </c>
      <c r="D31" s="36">
        <f t="shared" si="15"/>
        <v>0.00345682091579813</v>
      </c>
      <c r="E31" s="35">
        <v>146.6432</v>
      </c>
      <c r="F31" s="36">
        <f t="shared" si="16"/>
        <v>-0.0451928292056274</v>
      </c>
      <c r="G31" s="35">
        <v>143.83</v>
      </c>
      <c r="H31" s="36">
        <f t="shared" si="17"/>
        <v>0.0243878814123064</v>
      </c>
      <c r="I31" s="35">
        <f>中口径明细!AB31</f>
        <v>147.5729</v>
      </c>
      <c r="J31" s="36">
        <f t="shared" si="18"/>
        <v>0.00614845051274582</v>
      </c>
      <c r="K31" s="35">
        <f>中口径明细!AD31</f>
        <v>143.9986</v>
      </c>
      <c r="L31" s="36">
        <f t="shared" si="19"/>
        <v>-0.0278188295770092</v>
      </c>
      <c r="M31" s="35">
        <f>中口径明细!AF31</f>
        <v>126.5163</v>
      </c>
      <c r="N31" s="36">
        <f t="shared" si="20"/>
        <v>-0.0280791325898009</v>
      </c>
      <c r="O31" s="35">
        <f>中口径明细!AH31</f>
        <v>124.775</v>
      </c>
      <c r="P31" s="36">
        <f t="shared" si="21"/>
        <v>-0.00547179812133602</v>
      </c>
      <c r="Q31" s="35">
        <f>中口径明细!AJ31</f>
        <v>124.0754</v>
      </c>
      <c r="R31" s="36">
        <f t="shared" si="22"/>
        <v>-0.0273966374644903</v>
      </c>
      <c r="S31" s="35">
        <f>中口径明细!AL31</f>
        <v>117.619</v>
      </c>
      <c r="T31" s="36">
        <f t="shared" si="23"/>
        <v>9.94836204895044e-5</v>
      </c>
      <c r="U31" s="35">
        <f>中口径明细!AN31</f>
        <v>129.5702</v>
      </c>
      <c r="V31" s="36">
        <f t="shared" si="24"/>
        <v>0.0401171364191353</v>
      </c>
      <c r="W31" s="35">
        <f>中口径明细!AP31</f>
        <v>114.6044</v>
      </c>
      <c r="X31" s="36">
        <f t="shared" si="25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/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3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295</v>
      </c>
      <c r="C32" s="35">
        <v>61.26</v>
      </c>
      <c r="D32" s="36">
        <f t="shared" si="15"/>
        <v>-0.209038089089735</v>
      </c>
      <c r="E32" s="35">
        <v>62.21</v>
      </c>
      <c r="F32" s="36">
        <f t="shared" si="16"/>
        <v>-0.166085790884717</v>
      </c>
      <c r="G32" s="35">
        <f>公交!Z25-公交!Z27</f>
        <v>139.98</v>
      </c>
      <c r="H32" s="36">
        <f t="shared" si="17"/>
        <v>1.08489722966935</v>
      </c>
      <c r="I32" s="35">
        <f>公交!AB25-公交!AB27</f>
        <v>141.41</v>
      </c>
      <c r="J32" s="36">
        <f t="shared" si="18"/>
        <v>1.13739419588875</v>
      </c>
      <c r="K32" s="35">
        <f>公交!AD25-公交!AD27</f>
        <v>202.15</v>
      </c>
      <c r="L32" s="36">
        <f t="shared" si="19"/>
        <v>2.12104369306777</v>
      </c>
      <c r="M32" s="35">
        <f>公交!AF25-公交!AF27</f>
        <v>185.91</v>
      </c>
      <c r="N32" s="36">
        <f t="shared" si="20"/>
        <v>1.8787550325178</v>
      </c>
      <c r="O32" s="35">
        <f>公交!AH25-公交!AH27</f>
        <v>186.92</v>
      </c>
      <c r="P32" s="36">
        <f t="shared" si="21"/>
        <v>1.86335784313725</v>
      </c>
      <c r="Q32" s="35">
        <f>公交!AJ25-公交!AJ27</f>
        <v>188.07</v>
      </c>
      <c r="R32" s="36">
        <f t="shared" si="22"/>
        <v>2.03436592449177</v>
      </c>
      <c r="S32" s="35">
        <f>公交!AL25-公交!AL27</f>
        <v>179.2</v>
      </c>
      <c r="T32" s="36">
        <f t="shared" si="23"/>
        <v>1.9649238914626</v>
      </c>
      <c r="U32" s="35">
        <f>公交!AN25-公交!AN27</f>
        <v>195.46</v>
      </c>
      <c r="V32" s="36">
        <f t="shared" si="24"/>
        <v>2.06796421283943</v>
      </c>
      <c r="W32" s="35">
        <f>公交!AP25-公交!AP27</f>
        <v>177.11</v>
      </c>
      <c r="X32" s="36">
        <f t="shared" si="25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/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3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296</v>
      </c>
      <c r="C33" s="35">
        <v>55.51</v>
      </c>
      <c r="D33" s="36">
        <f t="shared" si="15"/>
        <v>-0.021505376344086</v>
      </c>
      <c r="E33" s="35">
        <v>55.28</v>
      </c>
      <c r="F33" s="36">
        <f t="shared" si="16"/>
        <v>-0.0571379839672523</v>
      </c>
      <c r="G33" s="35">
        <f>出租!Z25-出租!Z27</f>
        <v>56.72</v>
      </c>
      <c r="H33" s="36">
        <f t="shared" si="17"/>
        <v>0.0493987049028684</v>
      </c>
      <c r="I33" s="35">
        <f>出租!AB25-出租!AB27</f>
        <v>54</v>
      </c>
      <c r="J33" s="36">
        <f t="shared" si="18"/>
        <v>0.00821508588498876</v>
      </c>
      <c r="K33" s="35">
        <f>出租!AD25-出租!AD27</f>
        <v>58.07</v>
      </c>
      <c r="L33" s="36">
        <f t="shared" si="19"/>
        <v>0.106516768292683</v>
      </c>
      <c r="M33" s="35">
        <f>出租!AF25-出租!AF27</f>
        <v>57.76</v>
      </c>
      <c r="N33" s="36">
        <f t="shared" si="20"/>
        <v>0.0266619267685753</v>
      </c>
      <c r="O33" s="35">
        <f>出租!AH25-出租!AH27</f>
        <v>56.57</v>
      </c>
      <c r="P33" s="36">
        <f t="shared" si="21"/>
        <v>-0.0329914529914531</v>
      </c>
      <c r="Q33" s="35">
        <f>出租!AJ25-出租!AJ27</f>
        <v>54.23</v>
      </c>
      <c r="R33" s="36">
        <f t="shared" si="22"/>
        <v>-0.0514255728528946</v>
      </c>
      <c r="S33" s="35">
        <f>出租!AL25-出租!AL27</f>
        <v>53.58</v>
      </c>
      <c r="T33" s="36">
        <f t="shared" si="23"/>
        <v>-0.0254638050200064</v>
      </c>
      <c r="U33" s="35">
        <f>出租!AN25-出租!AN27</f>
        <v>54.34</v>
      </c>
      <c r="V33" s="36">
        <f t="shared" si="24"/>
        <v>-0.0310271041369476</v>
      </c>
      <c r="W33" s="35">
        <f>出租!AP25-出租!AP27</f>
        <v>53.62</v>
      </c>
      <c r="X33" s="36">
        <f t="shared" si="25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/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3"/>
        <v>664.06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339</v>
      </c>
      <c r="C34" s="35">
        <v>41.9653135324822</v>
      </c>
      <c r="D34" s="36">
        <f t="shared" si="15"/>
        <v>0.608953225901913</v>
      </c>
      <c r="E34" s="35">
        <v>42.2463123501189</v>
      </c>
      <c r="F34" s="36">
        <f t="shared" si="16"/>
        <v>0.818361902968625</v>
      </c>
      <c r="G34" s="35">
        <v>41.7377775446854</v>
      </c>
      <c r="H34" s="36">
        <f t="shared" si="17"/>
        <v>0.710102403511075</v>
      </c>
      <c r="I34" s="35">
        <f>网约车!AB25-网约车!AB27</f>
        <v>47.719635497264</v>
      </c>
      <c r="J34" s="36">
        <f t="shared" si="18"/>
        <v>0.811693680299455</v>
      </c>
      <c r="K34" s="35">
        <f>网约车!AD25-网约车!AD27</f>
        <v>55.228604779276</v>
      </c>
      <c r="L34" s="36">
        <f t="shared" si="19"/>
        <v>1.07780082488158</v>
      </c>
      <c r="M34" s="35">
        <f>网约车!AF25-网约车!AF27</f>
        <v>50.625695277591</v>
      </c>
      <c r="N34" s="36">
        <f t="shared" si="20"/>
        <v>0.700229099683741</v>
      </c>
      <c r="O34" s="35">
        <f>网约车!AH25-网约车!AH27</f>
        <v>59.501024905848</v>
      </c>
      <c r="P34" s="36">
        <f t="shared" si="21"/>
        <v>0.835209706596926</v>
      </c>
      <c r="Q34" s="35">
        <f>网约车!AJ25-网约车!AJ27</f>
        <v>60.258749810383</v>
      </c>
      <c r="R34" s="36">
        <f t="shared" si="22"/>
        <v>0.872053192179379</v>
      </c>
      <c r="S34" s="35">
        <f>网约车!AL25-网约车!AL27</f>
        <v>60.802082297246</v>
      </c>
      <c r="T34" s="36">
        <f t="shared" si="23"/>
        <v>0.971888711383935</v>
      </c>
      <c r="U34" s="35">
        <f>网约车!AN25-网约车!AN27</f>
        <v>65.5719016148</v>
      </c>
      <c r="V34" s="36">
        <f t="shared" si="24"/>
        <v>0.942675335381123</v>
      </c>
      <c r="W34" s="35">
        <f>网约车!AP25-网约车!AP27</f>
        <v>57.693439057959</v>
      </c>
      <c r="X34" s="36">
        <f t="shared" si="25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/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3"/>
        <v>350.034676341911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337</v>
      </c>
      <c r="C35" s="35">
        <f>C36+C37+C38+C39</f>
        <v>74.0289035376856</v>
      </c>
      <c r="D35" s="36">
        <f t="shared" si="15"/>
        <v>0.110325422357733</v>
      </c>
      <c r="E35" s="35">
        <f>E36+E37+E38+E39</f>
        <v>69.6268175123455</v>
      </c>
      <c r="F35" s="36">
        <f t="shared" si="16"/>
        <v>0.0359060052831426</v>
      </c>
      <c r="G35" s="35">
        <f>G36+G37+G38+G39</f>
        <v>71.4068236007158</v>
      </c>
      <c r="H35" s="36">
        <f t="shared" si="17"/>
        <v>0.0150353524738223</v>
      </c>
      <c r="I35" s="35">
        <f>I36+I37+I38+I39</f>
        <v>73.2671444402498</v>
      </c>
      <c r="J35" s="36">
        <f t="shared" si="18"/>
        <v>0.0100386272162145</v>
      </c>
      <c r="K35" s="35">
        <f>K36+K37+K38+K39</f>
        <v>73.1341249254508</v>
      </c>
      <c r="L35" s="36">
        <f t="shared" si="19"/>
        <v>-0.00111323477571679</v>
      </c>
      <c r="M35" s="35">
        <f>M36+M37+M38+M39</f>
        <v>73.4972282856684</v>
      </c>
      <c r="N35" s="36">
        <f t="shared" si="20"/>
        <v>-0.0282227589045551</v>
      </c>
      <c r="O35" s="35">
        <f>O36+O37+O38+O39</f>
        <v>75.5977480584749</v>
      </c>
      <c r="P35" s="36">
        <f t="shared" si="21"/>
        <v>0.0460529244482988</v>
      </c>
      <c r="Q35" s="35">
        <f>Q36+Q37+Q38+Q39</f>
        <v>73.9520763199187</v>
      </c>
      <c r="R35" s="36">
        <f t="shared" si="22"/>
        <v>0.0412790791557225</v>
      </c>
      <c r="S35" s="35">
        <f>S36+S37+S38+S39</f>
        <v>74.4564371894974</v>
      </c>
      <c r="T35" s="36">
        <f t="shared" si="23"/>
        <v>0.0574901969971136</v>
      </c>
      <c r="U35" s="35">
        <f>U36+U37+U38+U39</f>
        <v>74.1898326380197</v>
      </c>
      <c r="V35" s="36">
        <f t="shared" si="24"/>
        <v>-0.0148144741361296</v>
      </c>
      <c r="W35" s="35">
        <f>W36+W37+W38+W39</f>
        <v>80.3566448933362</v>
      </c>
      <c r="X35" s="36">
        <f t="shared" si="25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/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3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338</v>
      </c>
      <c r="C36" s="35">
        <v>55.2327</v>
      </c>
      <c r="D36" s="36">
        <f t="shared" si="15"/>
        <v>0.178332792872747</v>
      </c>
      <c r="E36" s="35">
        <v>51.4976</v>
      </c>
      <c r="F36" s="36">
        <f t="shared" si="16"/>
        <v>0.101392738596311</v>
      </c>
      <c r="G36" s="35">
        <v>52.4615</v>
      </c>
      <c r="H36" s="36">
        <f t="shared" si="17"/>
        <v>0.0501247062497248</v>
      </c>
      <c r="I36" s="35">
        <f>中口径明细!AB36</f>
        <v>52.8375</v>
      </c>
      <c r="J36" s="36">
        <f t="shared" si="18"/>
        <v>0.0461421189142099</v>
      </c>
      <c r="K36" s="35">
        <f>中口径明细!AD36</f>
        <v>53.0121</v>
      </c>
      <c r="L36" s="36">
        <f t="shared" si="19"/>
        <v>0.0182611301271192</v>
      </c>
      <c r="M36" s="35">
        <f>中口径明细!AF36</f>
        <v>54.2703</v>
      </c>
      <c r="N36" s="36">
        <f t="shared" si="20"/>
        <v>-0.0448884125383442</v>
      </c>
      <c r="O36" s="35">
        <f>中口径明细!AH36</f>
        <v>50.3549</v>
      </c>
      <c r="P36" s="36">
        <f t="shared" si="21"/>
        <v>-0.0697001160221403</v>
      </c>
      <c r="Q36" s="35">
        <f>中口径明细!AJ36</f>
        <v>48.9525</v>
      </c>
      <c r="R36" s="36">
        <f t="shared" si="22"/>
        <v>-0.091087167623189</v>
      </c>
      <c r="S36" s="35">
        <f>中口径明细!AL36</f>
        <v>49.2128</v>
      </c>
      <c r="T36" s="36">
        <f t="shared" si="23"/>
        <v>-0.0659261818085191</v>
      </c>
      <c r="U36" s="35">
        <f>中口径明细!AN36</f>
        <v>49.5826</v>
      </c>
      <c r="V36" s="36">
        <f t="shared" si="24"/>
        <v>-0.11487935106457</v>
      </c>
      <c r="W36" s="35">
        <f>中口径明细!AP36</f>
        <v>52.5038</v>
      </c>
      <c r="X36" s="36">
        <f t="shared" si="25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/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3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295</v>
      </c>
      <c r="C37" s="35">
        <v>16.06</v>
      </c>
      <c r="D37" s="36">
        <f t="shared" si="15"/>
        <v>-0.0248937462052217</v>
      </c>
      <c r="E37" s="35">
        <v>15.73</v>
      </c>
      <c r="F37" s="36">
        <f t="shared" si="16"/>
        <v>-0.112803158488438</v>
      </c>
      <c r="G37" s="35">
        <f>公交!Z29-公交!Z31</f>
        <v>15.69</v>
      </c>
      <c r="H37" s="36">
        <f t="shared" si="17"/>
        <v>-0.0867287543655414</v>
      </c>
      <c r="I37" s="35">
        <f>公交!AB29-公交!AB31</f>
        <v>16.8</v>
      </c>
      <c r="J37" s="36">
        <f t="shared" si="18"/>
        <v>-0.125455491931285</v>
      </c>
      <c r="K37" s="35">
        <f>公交!AD29-公交!AD31</f>
        <v>16.79</v>
      </c>
      <c r="L37" s="36">
        <f t="shared" si="19"/>
        <v>-0.0519480519480509</v>
      </c>
      <c r="M37" s="35">
        <f>公交!AF29-公交!AF31</f>
        <v>16.02</v>
      </c>
      <c r="N37" s="36">
        <f t="shared" si="20"/>
        <v>-0.0290909090909085</v>
      </c>
      <c r="O37" s="35">
        <f>公交!AH29-公交!AH31</f>
        <v>16.3</v>
      </c>
      <c r="P37" s="36">
        <f t="shared" si="21"/>
        <v>0.00803957946815159</v>
      </c>
      <c r="Q37" s="35">
        <f>公交!AJ29-公交!AJ31</f>
        <v>15.93</v>
      </c>
      <c r="R37" s="36">
        <f t="shared" si="22"/>
        <v>0.0120711562897082</v>
      </c>
      <c r="S37" s="35">
        <f>公交!AL29-公交!AL31</f>
        <v>15.6</v>
      </c>
      <c r="T37" s="36">
        <f t="shared" si="23"/>
        <v>0</v>
      </c>
      <c r="U37" s="35">
        <f>公交!AN29-公交!AN31</f>
        <v>15.79</v>
      </c>
      <c r="V37" s="36">
        <f t="shared" si="24"/>
        <v>-0.0407047387606324</v>
      </c>
      <c r="W37" s="35">
        <f>公交!AP29-公交!AP31</f>
        <v>15.19</v>
      </c>
      <c r="X37" s="36">
        <f t="shared" si="25"/>
        <v>0.00596026490066204</v>
      </c>
      <c r="Y37" s="35">
        <f t="shared" ref="Y37:Y68" si="26">E37+C37+G37+I37+K37+M37+O37+Q37+S37+U37</f>
        <v>160.71</v>
      </c>
      <c r="Z37" s="36">
        <f t="shared" ref="Z37:Z68" si="27">Y37/SUM(AC37,AE37,AG37,AI37,AK37,AM37,AO37,AQ37,AS37,AU37)-1</f>
        <v>-0.047757302838182</v>
      </c>
      <c r="AA37" s="37"/>
      <c r="AB37" s="38"/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ref="BA37:BA68" si="28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296</v>
      </c>
      <c r="C38" s="35">
        <v>1.87</v>
      </c>
      <c r="D38" s="36">
        <f t="shared" si="15"/>
        <v>0.106508875739645</v>
      </c>
      <c r="E38" s="35">
        <v>0.660000000000011</v>
      </c>
      <c r="F38" s="36">
        <f t="shared" si="16"/>
        <v>-0.547945205479448</v>
      </c>
      <c r="G38" s="35">
        <f>出租!Z29-出租!Z31</f>
        <v>0.789999999999992</v>
      </c>
      <c r="H38" s="36">
        <f t="shared" si="17"/>
        <v>-0.455172413793109</v>
      </c>
      <c r="I38" s="35">
        <f>出租!AB29-出租!AB31</f>
        <v>0.859999999999999</v>
      </c>
      <c r="J38" s="36">
        <f t="shared" si="18"/>
        <v>-0.203703703703704</v>
      </c>
      <c r="K38" s="35">
        <f>出租!AD29-出租!AD31</f>
        <v>0.900000000000006</v>
      </c>
      <c r="L38" s="36">
        <f t="shared" si="19"/>
        <v>-0.383561643835617</v>
      </c>
      <c r="M38" s="35">
        <f>出租!AF29-出租!AF31</f>
        <v>0.859999999999999</v>
      </c>
      <c r="N38" s="36">
        <f t="shared" si="20"/>
        <v>-0.188679245283019</v>
      </c>
      <c r="O38" s="35">
        <f>出租!AH29-出租!AH31</f>
        <v>4.45999999999999</v>
      </c>
      <c r="P38" s="36">
        <f t="shared" si="21"/>
        <v>4.30952380952387</v>
      </c>
      <c r="Q38" s="35">
        <f>出租!AJ29-出租!AJ31</f>
        <v>4.33999999999999</v>
      </c>
      <c r="R38" s="36">
        <f t="shared" si="22"/>
        <v>4.71052631578942</v>
      </c>
      <c r="S38" s="35">
        <f>出租!AL29-出租!AL31</f>
        <v>4.68000000000001</v>
      </c>
      <c r="T38" s="36">
        <f t="shared" si="23"/>
        <v>4.44186046511629</v>
      </c>
      <c r="U38" s="35">
        <f>出租!AN29-出租!AN31</f>
        <v>4.28</v>
      </c>
      <c r="V38" s="36">
        <f t="shared" si="24"/>
        <v>2.1240875912409</v>
      </c>
      <c r="W38" s="35">
        <f>出租!AP29-出租!AP31</f>
        <v>7.04000000000001</v>
      </c>
      <c r="X38" s="36">
        <f t="shared" si="25"/>
        <v>11.5714285714285</v>
      </c>
      <c r="Y38" s="35">
        <f t="shared" si="26"/>
        <v>23.7</v>
      </c>
      <c r="Z38" s="36">
        <f t="shared" si="27"/>
        <v>0.97007481296758</v>
      </c>
      <c r="AA38" s="37"/>
      <c r="AB38" s="38"/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28"/>
        <v>13.68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339</v>
      </c>
      <c r="C39" s="35">
        <v>0.866203537685607</v>
      </c>
      <c r="D39" s="36">
        <f t="shared" si="15"/>
        <v>-0.471685078226191</v>
      </c>
      <c r="E39" s="35">
        <v>1.73921751234545</v>
      </c>
      <c r="F39" s="36">
        <f t="shared" si="16"/>
        <v>0.373083455014757</v>
      </c>
      <c r="G39" s="35">
        <v>2.46532360071576</v>
      </c>
      <c r="H39" s="36">
        <f t="shared" si="17"/>
        <v>0.399400285037516</v>
      </c>
      <c r="I39" s="35">
        <f>网约车!AB29-网约车!AB31</f>
        <v>2.7696444402498</v>
      </c>
      <c r="J39" s="36">
        <f t="shared" si="18"/>
        <v>0.589965140631593</v>
      </c>
      <c r="K39" s="35">
        <f>网约车!AD29-网约车!AD31</f>
        <v>2.4320249254508</v>
      </c>
      <c r="L39" s="36">
        <f t="shared" si="19"/>
        <v>0.22567623830825</v>
      </c>
      <c r="M39" s="35">
        <f>网约车!AF29-网约车!AF31</f>
        <v>2.3469282856684</v>
      </c>
      <c r="N39" s="36">
        <f t="shared" si="20"/>
        <v>0.876243719877354</v>
      </c>
      <c r="O39" s="35">
        <f>网约车!AH29-网约车!AH31</f>
        <v>4.4828480584749</v>
      </c>
      <c r="P39" s="36">
        <f t="shared" si="21"/>
        <v>2.960375238157</v>
      </c>
      <c r="Q39" s="35">
        <f>网约车!AJ29-网约车!AJ31</f>
        <v>4.7295763199187</v>
      </c>
      <c r="R39" s="36">
        <f t="shared" si="22"/>
        <v>6.14309291625424</v>
      </c>
      <c r="S39" s="35">
        <f>网约车!AL29-网约车!AL31</f>
        <v>4.9636371894974</v>
      </c>
      <c r="T39" s="36">
        <f t="shared" si="23"/>
        <v>2.93180833814919</v>
      </c>
      <c r="U39" s="35">
        <f>网约车!AN29-网约车!AN31</f>
        <v>4.5372326380197</v>
      </c>
      <c r="V39" s="36">
        <f t="shared" si="24"/>
        <v>2.11293188811694</v>
      </c>
      <c r="W39" s="35">
        <f>网约车!AP29-网约车!AP31</f>
        <v>5.6228448933362</v>
      </c>
      <c r="X39" s="36">
        <f t="shared" si="25"/>
        <v>4.90130413953753</v>
      </c>
      <c r="Y39" s="35">
        <f t="shared" si="26"/>
        <v>31.3326365080265</v>
      </c>
      <c r="Z39" s="36">
        <f t="shared" si="27"/>
        <v>1.21291656665893</v>
      </c>
      <c r="AA39" s="37"/>
      <c r="AB39" s="38"/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28"/>
        <v>16.2043582050466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337</v>
      </c>
      <c r="C40" s="35">
        <f>C41+C42+C43+C44</f>
        <v>98.1609873943417</v>
      </c>
      <c r="D40" s="36">
        <f t="shared" si="15"/>
        <v>0.000636868581072259</v>
      </c>
      <c r="E40" s="35">
        <f>E41+E42+E43+E44</f>
        <v>90.2512103464347</v>
      </c>
      <c r="F40" s="36">
        <f t="shared" si="16"/>
        <v>-0.0143747355097976</v>
      </c>
      <c r="G40" s="35">
        <f>G41+G42+G43+G44</f>
        <v>101.990059626967</v>
      </c>
      <c r="H40" s="36">
        <f t="shared" si="17"/>
        <v>0.0413991651696224</v>
      </c>
      <c r="I40" s="35">
        <f>I41+I42+I43+I44</f>
        <v>101.756063104372</v>
      </c>
      <c r="J40" s="36">
        <f t="shared" si="18"/>
        <v>0.124196494017083</v>
      </c>
      <c r="K40" s="35">
        <f>K41+K42+K43+K44</f>
        <v>91.9324897047708</v>
      </c>
      <c r="L40" s="36">
        <f t="shared" si="19"/>
        <v>-0.00742778717496684</v>
      </c>
      <c r="M40" s="35">
        <f>M41+M42+M43+M44</f>
        <v>90.2292055507382</v>
      </c>
      <c r="N40" s="36">
        <f t="shared" si="20"/>
        <v>-0.0512422253128896</v>
      </c>
      <c r="O40" s="35">
        <f>O41+O42+O43+O44</f>
        <v>94.6407807013854</v>
      </c>
      <c r="P40" s="36">
        <f t="shared" si="21"/>
        <v>-0.0457807869825068</v>
      </c>
      <c r="Q40" s="35">
        <f>Q41+Q42+Q43+Q44</f>
        <v>97.2720232534238</v>
      </c>
      <c r="R40" s="36">
        <f t="shared" si="22"/>
        <v>0.0250916432597899</v>
      </c>
      <c r="S40" s="35">
        <f>S41+S42+S43+S44</f>
        <v>95.0545904161333</v>
      </c>
      <c r="T40" s="36">
        <f t="shared" si="23"/>
        <v>-0.000238391133044691</v>
      </c>
      <c r="U40" s="35">
        <f>U41+U42+U43+U44</f>
        <v>107.36177091192</v>
      </c>
      <c r="V40" s="36">
        <f t="shared" si="24"/>
        <v>0.0379044487484499</v>
      </c>
      <c r="W40" s="35">
        <f>W41+W42+W43+W44</f>
        <v>104.537822747425</v>
      </c>
      <c r="X40" s="36">
        <f t="shared" si="25"/>
        <v>0.108962522617923</v>
      </c>
      <c r="Y40" s="35">
        <f t="shared" si="26"/>
        <v>968.649181010486</v>
      </c>
      <c r="Z40" s="36">
        <f t="shared" si="27"/>
        <v>0.0106628592145626</v>
      </c>
      <c r="AA40" s="37"/>
      <c r="AB40" s="38"/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28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338</v>
      </c>
      <c r="C41" s="35">
        <v>59.1014</v>
      </c>
      <c r="D41" s="36">
        <f t="shared" si="15"/>
        <v>-0.124247255743379</v>
      </c>
      <c r="E41" s="35">
        <v>56.1843</v>
      </c>
      <c r="F41" s="36">
        <f t="shared" si="16"/>
        <v>-0.106757944841993</v>
      </c>
      <c r="G41" s="35">
        <v>55.1709</v>
      </c>
      <c r="H41" s="36">
        <f t="shared" si="17"/>
        <v>-0.112327299231082</v>
      </c>
      <c r="I41" s="35">
        <f>中口径明细!AB41</f>
        <v>55.7954</v>
      </c>
      <c r="J41" s="36">
        <f t="shared" si="18"/>
        <v>-0.116188080544397</v>
      </c>
      <c r="K41" s="35">
        <f>中口径明细!AD41</f>
        <v>48.1287</v>
      </c>
      <c r="L41" s="36">
        <f t="shared" si="19"/>
        <v>-0.24924306119934</v>
      </c>
      <c r="M41" s="35">
        <f>中口径明细!AF41</f>
        <v>49.994</v>
      </c>
      <c r="N41" s="36">
        <f t="shared" si="20"/>
        <v>-0.190280909067351</v>
      </c>
      <c r="O41" s="35">
        <f>中口径明细!AH41</f>
        <v>48.8363</v>
      </c>
      <c r="P41" s="36">
        <f t="shared" si="21"/>
        <v>-0.223851064742782</v>
      </c>
      <c r="Q41" s="35">
        <f>中口径明细!AJ41</f>
        <v>47.4127</v>
      </c>
      <c r="R41" s="36">
        <f t="shared" si="22"/>
        <v>-0.24349805978913</v>
      </c>
      <c r="S41" s="35">
        <f>中口径明细!AL41</f>
        <v>47.5084</v>
      </c>
      <c r="T41" s="36">
        <f t="shared" si="23"/>
        <v>-0.229347737927231</v>
      </c>
      <c r="U41" s="35">
        <f>中口径明细!AN41</f>
        <v>48.6599</v>
      </c>
      <c r="V41" s="36">
        <f t="shared" si="24"/>
        <v>-0.272865701037506</v>
      </c>
      <c r="W41" s="35">
        <f>中口径明细!AP41</f>
        <v>46.5076</v>
      </c>
      <c r="X41" s="36">
        <f t="shared" si="25"/>
        <v>-0.237667808612127</v>
      </c>
      <c r="Y41" s="35">
        <f t="shared" si="26"/>
        <v>516.792</v>
      </c>
      <c r="Z41" s="36">
        <f t="shared" si="27"/>
        <v>-0.1870245345258</v>
      </c>
      <c r="AA41" s="37"/>
      <c r="AB41" s="38"/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28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295</v>
      </c>
      <c r="C42" s="35">
        <v>0.289999999999964</v>
      </c>
      <c r="D42" s="36">
        <f t="shared" si="15"/>
        <v>0.0740740740740125</v>
      </c>
      <c r="E42" s="35">
        <v>0.269999999999982</v>
      </c>
      <c r="F42" s="36">
        <f t="shared" si="16"/>
        <v>1.6999999999992</v>
      </c>
      <c r="G42" s="35">
        <f>公交!Z33-公交!Z35</f>
        <v>10.6700000000001</v>
      </c>
      <c r="H42" s="36">
        <f t="shared" si="17"/>
        <v>58.2777777777946</v>
      </c>
      <c r="I42" s="35">
        <f>公交!AB33-公交!AB35</f>
        <v>10.51</v>
      </c>
      <c r="J42" s="36">
        <f t="shared" si="18"/>
        <v>39.4230769230783</v>
      </c>
      <c r="K42" s="35">
        <f>公交!AD33-公交!AD35</f>
        <v>10.49</v>
      </c>
      <c r="L42" s="36">
        <f t="shared" si="19"/>
        <v>30.7878787878749</v>
      </c>
      <c r="M42" s="35">
        <f>公交!AF33-公交!AF35</f>
        <v>10.66</v>
      </c>
      <c r="N42" s="36">
        <f t="shared" si="20"/>
        <v>33.3870967741995</v>
      </c>
      <c r="O42" s="35">
        <f>公交!AH33-公交!AH35</f>
        <v>10.0600000000001</v>
      </c>
      <c r="P42" s="36">
        <f t="shared" si="21"/>
        <v>44.7272727272674</v>
      </c>
      <c r="Q42" s="35">
        <f>公交!AJ33-公交!AJ35</f>
        <v>10.71</v>
      </c>
      <c r="R42" s="36">
        <f t="shared" si="22"/>
        <v>38.6666666666528</v>
      </c>
      <c r="S42" s="35">
        <f>公交!AL33-公交!AL35</f>
        <v>11.75</v>
      </c>
      <c r="T42" s="36">
        <f t="shared" si="23"/>
        <v>46</v>
      </c>
      <c r="U42" s="35">
        <f>公交!AN33-公交!AN35</f>
        <v>13.74</v>
      </c>
      <c r="V42" s="36">
        <f t="shared" si="24"/>
        <v>49.8888888888923</v>
      </c>
      <c r="W42" s="35">
        <f>公交!AP33-公交!AP35</f>
        <v>12.01</v>
      </c>
      <c r="X42" s="36">
        <f t="shared" si="25"/>
        <v>43.4814814814844</v>
      </c>
      <c r="Y42" s="35">
        <f t="shared" si="26"/>
        <v>89.1500000000001</v>
      </c>
      <c r="Z42" s="36">
        <f t="shared" si="27"/>
        <v>35.2398373983735</v>
      </c>
      <c r="AA42" s="37"/>
      <c r="AB42" s="38"/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28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296</v>
      </c>
      <c r="C43" s="35">
        <v>33.96</v>
      </c>
      <c r="D43" s="36">
        <f t="shared" si="15"/>
        <v>0.405047579644187</v>
      </c>
      <c r="E43" s="35">
        <v>28.59</v>
      </c>
      <c r="F43" s="36">
        <f t="shared" si="16"/>
        <v>0.168369431957499</v>
      </c>
      <c r="G43" s="35">
        <f>出租!Z33-出租!Z35</f>
        <v>29.41</v>
      </c>
      <c r="H43" s="36">
        <f t="shared" si="17"/>
        <v>0.0169432918395562</v>
      </c>
      <c r="I43" s="35">
        <f>出租!AB33-出租!AB35</f>
        <v>27.6</v>
      </c>
      <c r="J43" s="36">
        <f t="shared" si="18"/>
        <v>0.330120481927712</v>
      </c>
      <c r="K43" s="35">
        <f>出租!AD33-出租!AD35</f>
        <v>25.71</v>
      </c>
      <c r="L43" s="36">
        <f t="shared" si="19"/>
        <v>0.177197802197801</v>
      </c>
      <c r="M43" s="35">
        <f>出租!AF33-出租!AF35</f>
        <v>22.85</v>
      </c>
      <c r="N43" s="36">
        <f t="shared" si="20"/>
        <v>-0.147706079820964</v>
      </c>
      <c r="O43" s="35">
        <f>出租!AH33-出租!AH35</f>
        <v>26.5</v>
      </c>
      <c r="P43" s="36">
        <f t="shared" si="21"/>
        <v>-0.0789016336461592</v>
      </c>
      <c r="Q43" s="35">
        <f>出租!AJ33-出租!AJ35</f>
        <v>28.28</v>
      </c>
      <c r="R43" s="36">
        <f t="shared" si="22"/>
        <v>0.112072355485648</v>
      </c>
      <c r="S43" s="35">
        <f>出租!AL33-出租!AL35</f>
        <v>25.61</v>
      </c>
      <c r="T43" s="36">
        <f t="shared" si="23"/>
        <v>-0.0176448024549285</v>
      </c>
      <c r="U43" s="35">
        <f>出租!AN33-出租!AN35</f>
        <v>28.51</v>
      </c>
      <c r="V43" s="36">
        <f t="shared" si="24"/>
        <v>0.00742049469964634</v>
      </c>
      <c r="W43" s="35">
        <f>出租!AP33-出租!AP35</f>
        <v>27.31</v>
      </c>
      <c r="X43" s="36">
        <f t="shared" si="25"/>
        <v>0.0739284309870234</v>
      </c>
      <c r="Y43" s="35">
        <f t="shared" si="26"/>
        <v>277.02</v>
      </c>
      <c r="Z43" s="36">
        <f t="shared" si="27"/>
        <v>0.0840997143192579</v>
      </c>
      <c r="AA43" s="37"/>
      <c r="AB43" s="38"/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28"/>
        <v>309.78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339</v>
      </c>
      <c r="C44" s="35">
        <v>4.80958739434171</v>
      </c>
      <c r="D44" s="36">
        <f t="shared" si="15"/>
        <v>-0.22075494464717</v>
      </c>
      <c r="E44" s="35">
        <v>5.20691034643473</v>
      </c>
      <c r="F44" s="36">
        <f t="shared" si="16"/>
        <v>0.270545699291344</v>
      </c>
      <c r="G44" s="35">
        <v>6.73915962696667</v>
      </c>
      <c r="H44" s="36">
        <f t="shared" si="17"/>
        <v>0.00835699726611616</v>
      </c>
      <c r="I44" s="35">
        <f>网约车!AB33-网约车!AB35</f>
        <v>7.8506631043718</v>
      </c>
      <c r="J44" s="36">
        <f t="shared" si="18"/>
        <v>0.231653960992514</v>
      </c>
      <c r="K44" s="35">
        <f>网约车!AD33-网约车!AD35</f>
        <v>7.6037897047708</v>
      </c>
      <c r="L44" s="36">
        <f t="shared" si="19"/>
        <v>0.198663845074439</v>
      </c>
      <c r="M44" s="35">
        <f>网约车!AF33-网约车!AF35</f>
        <v>6.7252055507383</v>
      </c>
      <c r="N44" s="36">
        <f t="shared" si="20"/>
        <v>0.0777456199769426</v>
      </c>
      <c r="O44" s="35">
        <f>网约车!AH33-网约车!AH35</f>
        <v>9.2444807013853</v>
      </c>
      <c r="P44" s="36">
        <f t="shared" si="21"/>
        <v>0.271578523766954</v>
      </c>
      <c r="Q44" s="35">
        <f>网约车!AJ33-网约车!AJ35</f>
        <v>10.8693232534237</v>
      </c>
      <c r="R44" s="36">
        <f t="shared" si="22"/>
        <v>0.667726154332034</v>
      </c>
      <c r="S44" s="35">
        <f>网约车!AL33-网约车!AL35</f>
        <v>10.1861904161333</v>
      </c>
      <c r="T44" s="36">
        <f t="shared" si="23"/>
        <v>0.432605299886166</v>
      </c>
      <c r="U44" s="35">
        <f>网约车!AN33-网约车!AN35</f>
        <v>16.45187091192</v>
      </c>
      <c r="V44" s="36">
        <f t="shared" si="24"/>
        <v>1.06920934712298</v>
      </c>
      <c r="W44" s="35">
        <f>网约车!AP33-网约车!AP35</f>
        <v>18.710222747425</v>
      </c>
      <c r="X44" s="36">
        <f t="shared" si="25"/>
        <v>1.47511783384466</v>
      </c>
      <c r="Y44" s="35">
        <f t="shared" si="26"/>
        <v>85.6871810104863</v>
      </c>
      <c r="Z44" s="36">
        <f t="shared" si="27"/>
        <v>0.323152224290822</v>
      </c>
      <c r="AA44" s="37"/>
      <c r="AB44" s="38"/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28"/>
        <v>81.3641483025953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337</v>
      </c>
      <c r="C45" s="35">
        <f>C46+C47+C48+C49</f>
        <v>279.324365910181</v>
      </c>
      <c r="D45" s="36">
        <f t="shared" si="15"/>
        <v>-0.103990172900041</v>
      </c>
      <c r="E45" s="35">
        <f>E46+E47+E48+E49</f>
        <v>282.202953104174</v>
      </c>
      <c r="F45" s="36">
        <f t="shared" si="16"/>
        <v>0.0358620771264044</v>
      </c>
      <c r="G45" s="35">
        <f>G46+G47+G48+G49</f>
        <v>284.272633491928</v>
      </c>
      <c r="H45" s="36">
        <f t="shared" si="17"/>
        <v>0.00622717179555399</v>
      </c>
      <c r="I45" s="35">
        <f>I46+I47+I48+I49</f>
        <v>286.741181330183</v>
      </c>
      <c r="J45" s="36">
        <f t="shared" si="18"/>
        <v>0.0139760090169221</v>
      </c>
      <c r="K45" s="35">
        <f>K46+K47+K48+K49</f>
        <v>395.683856747684</v>
      </c>
      <c r="L45" s="36">
        <f t="shared" si="19"/>
        <v>0.359731174099248</v>
      </c>
      <c r="M45" s="35">
        <f>M46+M47+M48+M49</f>
        <v>348.107972529737</v>
      </c>
      <c r="N45" s="36">
        <f t="shared" si="20"/>
        <v>0.260017589463335</v>
      </c>
      <c r="O45" s="35">
        <f>O46+O47+O48+O49</f>
        <v>327.546122539273</v>
      </c>
      <c r="P45" s="36">
        <f t="shared" si="21"/>
        <v>0.21264679194705</v>
      </c>
      <c r="Q45" s="35">
        <f>Q46+Q47+Q48+Q49</f>
        <v>321.251776595065</v>
      </c>
      <c r="R45" s="36">
        <f t="shared" si="22"/>
        <v>0.246884387861916</v>
      </c>
      <c r="S45" s="35">
        <f>S46+S47+S48+S49</f>
        <v>329.938966303657</v>
      </c>
      <c r="T45" s="36">
        <f t="shared" si="23"/>
        <v>0.251342404711158</v>
      </c>
      <c r="U45" s="35">
        <f>U46+U47+U48+U49</f>
        <v>353.99011865535</v>
      </c>
      <c r="V45" s="36">
        <f t="shared" si="24"/>
        <v>0.230522367470622</v>
      </c>
      <c r="W45" s="35">
        <f>W46+W47+W48+W49</f>
        <v>348.678134657393</v>
      </c>
      <c r="X45" s="36">
        <f t="shared" si="25"/>
        <v>0.267677017248978</v>
      </c>
      <c r="Y45" s="35">
        <f t="shared" si="26"/>
        <v>3209.05994720723</v>
      </c>
      <c r="Z45" s="36">
        <f t="shared" si="27"/>
        <v>0.147795543938445</v>
      </c>
      <c r="AA45" s="37"/>
      <c r="AB45" s="38"/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28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338</v>
      </c>
      <c r="C46" s="35">
        <v>73.6615</v>
      </c>
      <c r="D46" s="36">
        <f t="shared" ref="D46:D77" si="29">C46/AC46-1</f>
        <v>-0.176084568733907</v>
      </c>
      <c r="E46" s="35">
        <v>72.2681</v>
      </c>
      <c r="F46" s="36">
        <f t="shared" si="16"/>
        <v>-0.151141238212921</v>
      </c>
      <c r="G46" s="35">
        <v>74.5694</v>
      </c>
      <c r="H46" s="36">
        <f t="shared" si="17"/>
        <v>-0.158369365617357</v>
      </c>
      <c r="I46" s="35">
        <f>中口径明细!AB46</f>
        <v>78.5743</v>
      </c>
      <c r="J46" s="36">
        <f t="shared" si="18"/>
        <v>-0.160810712668427</v>
      </c>
      <c r="K46" s="35">
        <f>中口径明细!AD46</f>
        <v>88.0018</v>
      </c>
      <c r="L46" s="36">
        <f t="shared" si="19"/>
        <v>-0.0512150129215403</v>
      </c>
      <c r="M46" s="35">
        <f>中口径明细!AF46</f>
        <v>72.7053</v>
      </c>
      <c r="N46" s="36">
        <f t="shared" si="20"/>
        <v>-0.152618881118881</v>
      </c>
      <c r="O46" s="35">
        <f>中口径明细!AH46</f>
        <v>66.0679</v>
      </c>
      <c r="P46" s="36">
        <f t="shared" si="21"/>
        <v>-0.192063208663921</v>
      </c>
      <c r="Q46" s="35">
        <f>中口径明细!AJ46</f>
        <v>64.5414</v>
      </c>
      <c r="R46" s="36">
        <f t="shared" si="22"/>
        <v>-0.183146400176175</v>
      </c>
      <c r="S46" s="35">
        <f>中口径明细!AL46</f>
        <v>66.3654</v>
      </c>
      <c r="T46" s="36">
        <f t="shared" si="23"/>
        <v>-0.142599124064959</v>
      </c>
      <c r="U46" s="35">
        <f>中口径明细!AN46</f>
        <v>69.6476</v>
      </c>
      <c r="V46" s="36">
        <f t="shared" si="24"/>
        <v>-0.191636838024671</v>
      </c>
      <c r="W46" s="35">
        <f>中口径明细!AP46</f>
        <v>65.118</v>
      </c>
      <c r="X46" s="36">
        <f t="shared" si="25"/>
        <v>-0.229349980768662</v>
      </c>
      <c r="Y46" s="35">
        <f t="shared" si="26"/>
        <v>726.4027</v>
      </c>
      <c r="Z46" s="36">
        <f t="shared" si="27"/>
        <v>-0.155023230958605</v>
      </c>
      <c r="AA46" s="37"/>
      <c r="AB46" s="38"/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28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295</v>
      </c>
      <c r="C47" s="35">
        <v>120.15</v>
      </c>
      <c r="D47" s="36">
        <f t="shared" si="29"/>
        <v>0.146688299293758</v>
      </c>
      <c r="E47" s="35">
        <v>123.94</v>
      </c>
      <c r="F47" s="36">
        <f t="shared" ref="F47:F78" si="30">E47/AE47-1</f>
        <v>0.264048954614992</v>
      </c>
      <c r="G47" s="35">
        <f>公交!Z37-公交!Z39</f>
        <v>126.83</v>
      </c>
      <c r="H47" s="36">
        <f t="shared" ref="H47:H78" si="31">G47/AG47-1</f>
        <v>0.192123319860889</v>
      </c>
      <c r="I47" s="35">
        <f>公交!AB37-公交!AB39</f>
        <v>124.69</v>
      </c>
      <c r="J47" s="36">
        <f t="shared" ref="J47:J78" si="32">I47/AI47-1</f>
        <v>0.177876440581901</v>
      </c>
      <c r="K47" s="35">
        <f>公交!AD37-公交!AD39</f>
        <v>166.46</v>
      </c>
      <c r="L47" s="36">
        <f t="shared" ref="L47:L78" si="33">K47/AK47-1</f>
        <v>0.525476539589443</v>
      </c>
      <c r="M47" s="35">
        <f>公交!AF37-公交!AF39</f>
        <v>157.11</v>
      </c>
      <c r="N47" s="36">
        <f t="shared" ref="N47:N78" si="34">M47/AM47-1</f>
        <v>0.480633305060786</v>
      </c>
      <c r="O47" s="35">
        <f>公交!AH37-公交!AH39</f>
        <v>147.77</v>
      </c>
      <c r="P47" s="36">
        <f t="shared" ref="P47:P78" si="35">O47/AO47-1</f>
        <v>0.404924890663624</v>
      </c>
      <c r="Q47" s="35">
        <f>公交!AJ37-公交!AJ39</f>
        <v>146.67</v>
      </c>
      <c r="R47" s="36">
        <f t="shared" ref="R47:R78" si="36">Q47/AQ47-1</f>
        <v>0.503536647872886</v>
      </c>
      <c r="S47" s="35">
        <f>公交!AL37-公交!AL39</f>
        <v>153.73</v>
      </c>
      <c r="T47" s="36">
        <f t="shared" ref="T47:T78" si="37">S47/AS47-1</f>
        <v>0.492234517569404</v>
      </c>
      <c r="U47" s="35">
        <f>公交!AN37-公交!AN39</f>
        <v>156.77</v>
      </c>
      <c r="V47" s="36">
        <f t="shared" ref="V47:V78" si="38">U47/AU47-1</f>
        <v>0.325974794891314</v>
      </c>
      <c r="W47" s="35">
        <f>公交!AP37-公交!AP39</f>
        <v>158.77</v>
      </c>
      <c r="X47" s="36">
        <f t="shared" ref="X47:X78" si="39">W47/AW47-1</f>
        <v>0.422925255422119</v>
      </c>
      <c r="Y47" s="35">
        <f t="shared" si="26"/>
        <v>1424.12</v>
      </c>
      <c r="Z47" s="36">
        <f t="shared" si="27"/>
        <v>0.350785836913942</v>
      </c>
      <c r="AA47" s="37"/>
      <c r="AB47" s="38"/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28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296</v>
      </c>
      <c r="C48" s="35">
        <v>75.34</v>
      </c>
      <c r="D48" s="36">
        <f t="shared" si="29"/>
        <v>-0.252208436724566</v>
      </c>
      <c r="E48" s="35">
        <v>75.11</v>
      </c>
      <c r="F48" s="36">
        <f t="shared" si="30"/>
        <v>-0.0534341524889729</v>
      </c>
      <c r="G48" s="35">
        <f>出租!Z37-出租!Z39</f>
        <v>69.99</v>
      </c>
      <c r="H48" s="36">
        <f t="shared" si="31"/>
        <v>-0.0701474691111995</v>
      </c>
      <c r="I48" s="35">
        <f>出租!AB37-出租!AB39</f>
        <v>68.51</v>
      </c>
      <c r="J48" s="36">
        <f t="shared" si="32"/>
        <v>-0.0316607773851592</v>
      </c>
      <c r="K48" s="35">
        <f>出租!AD37-出租!AD39</f>
        <v>121.37</v>
      </c>
      <c r="L48" s="36">
        <f t="shared" si="33"/>
        <v>0.606911161128028</v>
      </c>
      <c r="M48" s="35">
        <f>出租!AF37-出租!AF39</f>
        <v>99.96</v>
      </c>
      <c r="N48" s="36">
        <f t="shared" si="34"/>
        <v>0.377808407994487</v>
      </c>
      <c r="O48" s="35">
        <f>出租!AH37-出租!AH39</f>
        <v>93.1</v>
      </c>
      <c r="P48" s="36">
        <f t="shared" si="35"/>
        <v>0.326210826210826</v>
      </c>
      <c r="Q48" s="35">
        <f>出租!AJ37-出租!AJ39</f>
        <v>88.05</v>
      </c>
      <c r="R48" s="36">
        <f t="shared" si="36"/>
        <v>0.281659388646288</v>
      </c>
      <c r="S48" s="35">
        <f>出租!AL37-出租!AL39</f>
        <v>89.33</v>
      </c>
      <c r="T48" s="36">
        <f t="shared" si="37"/>
        <v>0.309824046920821</v>
      </c>
      <c r="U48" s="35">
        <f>出租!AN37-出租!AN39</f>
        <v>95.06</v>
      </c>
      <c r="V48" s="36">
        <f t="shared" si="38"/>
        <v>0.403306761145557</v>
      </c>
      <c r="W48" s="35">
        <f>出租!AP37-出租!AP39</f>
        <v>91.45</v>
      </c>
      <c r="X48" s="36">
        <f t="shared" si="39"/>
        <v>0.424454828660436</v>
      </c>
      <c r="Y48" s="35">
        <f t="shared" si="26"/>
        <v>875.82</v>
      </c>
      <c r="Z48" s="36">
        <f t="shared" si="27"/>
        <v>0.169256648510092</v>
      </c>
      <c r="AA48" s="37"/>
      <c r="AB48" s="38"/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28"/>
        <v>877.76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339</v>
      </c>
      <c r="C49" s="35">
        <v>10.172865910181</v>
      </c>
      <c r="D49" s="36">
        <f t="shared" si="29"/>
        <v>-0.394772178657883</v>
      </c>
      <c r="E49" s="35">
        <v>10.8848531041738</v>
      </c>
      <c r="F49" s="36">
        <f t="shared" si="30"/>
        <v>0.0997753924557281</v>
      </c>
      <c r="G49" s="35">
        <v>12.8832334919283</v>
      </c>
      <c r="H49" s="36">
        <f t="shared" si="31"/>
        <v>0.0514973225749253</v>
      </c>
      <c r="I49" s="35">
        <f>网约车!AB37-网约车!AB39</f>
        <v>14.9668813301831</v>
      </c>
      <c r="J49" s="36">
        <f t="shared" si="32"/>
        <v>0.192796806802992</v>
      </c>
      <c r="K49" s="35">
        <f>网约车!AD37-网约车!AD39</f>
        <v>19.8520567476844</v>
      </c>
      <c r="L49" s="36">
        <f t="shared" si="33"/>
        <v>0.459770865842915</v>
      </c>
      <c r="M49" s="35">
        <f>网约车!AF37-网约车!AF39</f>
        <v>18.3326725297372</v>
      </c>
      <c r="N49" s="36">
        <f t="shared" si="34"/>
        <v>0.551996985719525</v>
      </c>
      <c r="O49" s="35">
        <f>网约车!AH37-网约车!AH39</f>
        <v>20.6082225392728</v>
      </c>
      <c r="P49" s="36">
        <f t="shared" si="35"/>
        <v>0.590775075703115</v>
      </c>
      <c r="Q49" s="35">
        <f>网约车!AJ37-网约车!AJ39</f>
        <v>21.9903765950646</v>
      </c>
      <c r="R49" s="36">
        <f t="shared" si="36"/>
        <v>0.776082265901739</v>
      </c>
      <c r="S49" s="35">
        <f>网约车!AL37-网约车!AL39</f>
        <v>20.5135663036571</v>
      </c>
      <c r="T49" s="36">
        <f t="shared" si="37"/>
        <v>0.363479403759599</v>
      </c>
      <c r="U49" s="35">
        <f>网约车!AN37-网约车!AN39</f>
        <v>32.51251865535</v>
      </c>
      <c r="V49" s="36">
        <f t="shared" si="38"/>
        <v>1.09139238427116</v>
      </c>
      <c r="W49" s="35">
        <f>网约车!AP37-网约车!AP39</f>
        <v>33.340134657393</v>
      </c>
      <c r="X49" s="36">
        <f t="shared" si="39"/>
        <v>1.25647508119816</v>
      </c>
      <c r="Y49" s="35">
        <f t="shared" si="26"/>
        <v>182.717247207232</v>
      </c>
      <c r="Z49" s="36">
        <f t="shared" si="27"/>
        <v>0.375421791708641</v>
      </c>
      <c r="AA49" s="37"/>
      <c r="AB49" s="38"/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28"/>
        <v>163.801364364644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337</v>
      </c>
      <c r="C50" s="35">
        <f>C51+C52+C53+C54</f>
        <v>178.852067231883</v>
      </c>
      <c r="D50" s="36">
        <f t="shared" si="29"/>
        <v>0.0267919273508916</v>
      </c>
      <c r="E50" s="35">
        <f>E51+E52+E53+E54</f>
        <v>189.715967771981</v>
      </c>
      <c r="F50" s="36">
        <f t="shared" si="30"/>
        <v>0.0254122980441072</v>
      </c>
      <c r="G50" s="35">
        <f>G51+G52+G53+G54</f>
        <v>176.294257004612</v>
      </c>
      <c r="H50" s="36">
        <f t="shared" si="31"/>
        <v>0.0175236174308626</v>
      </c>
      <c r="I50" s="35">
        <f>I51+I52+I53+I54</f>
        <v>183.288657728504</v>
      </c>
      <c r="J50" s="36">
        <f t="shared" si="32"/>
        <v>0.0353500434969074</v>
      </c>
      <c r="K50" s="35">
        <f>K51+K52+K53+K54</f>
        <v>183.796066046184</v>
      </c>
      <c r="L50" s="36">
        <f t="shared" si="33"/>
        <v>-0.0184873977778269</v>
      </c>
      <c r="M50" s="35">
        <f>M51+M52+M53+M54</f>
        <v>176.490774864562</v>
      </c>
      <c r="N50" s="36">
        <f t="shared" si="34"/>
        <v>0.00169555134644161</v>
      </c>
      <c r="O50" s="35">
        <f>O51+O52+O53+O54</f>
        <v>288.806679123069</v>
      </c>
      <c r="P50" s="36">
        <f t="shared" si="35"/>
        <v>0.588809925096513</v>
      </c>
      <c r="Q50" s="35">
        <f>Q51+Q52+Q53+Q54</f>
        <v>342.808583096567</v>
      </c>
      <c r="R50" s="36">
        <f t="shared" si="36"/>
        <v>1.02360600617417</v>
      </c>
      <c r="S50" s="35">
        <f>S51+S52+S53+S54</f>
        <v>320.107856935656</v>
      </c>
      <c r="T50" s="36">
        <f t="shared" si="37"/>
        <v>0.968059456989163</v>
      </c>
      <c r="U50" s="35">
        <f>U51+U52+U53+U54</f>
        <v>293.652551919792</v>
      </c>
      <c r="V50" s="36">
        <f t="shared" si="38"/>
        <v>0.709800864823136</v>
      </c>
      <c r="W50" s="35">
        <f>W51+W52+W53+W54</f>
        <v>278.976396121931</v>
      </c>
      <c r="X50" s="36">
        <f t="shared" si="39"/>
        <v>0.770035196704638</v>
      </c>
      <c r="Y50" s="35">
        <f t="shared" si="26"/>
        <v>2333.81346172281</v>
      </c>
      <c r="Z50" s="36">
        <f t="shared" si="27"/>
        <v>0.327148763083593</v>
      </c>
      <c r="AA50" s="37"/>
      <c r="AB50" s="38"/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28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338</v>
      </c>
      <c r="C51" s="35">
        <v>164.4953</v>
      </c>
      <c r="D51" s="36">
        <f t="shared" si="29"/>
        <v>0.045928044452894</v>
      </c>
      <c r="E51" s="35">
        <v>172.6711</v>
      </c>
      <c r="F51" s="36">
        <f t="shared" si="30"/>
        <v>0.038111751263588</v>
      </c>
      <c r="G51" s="35">
        <v>158.0056</v>
      </c>
      <c r="H51" s="36">
        <f t="shared" si="31"/>
        <v>0.0111335941709572</v>
      </c>
      <c r="I51" s="35">
        <f>中口径明细!AB51</f>
        <v>162.0783</v>
      </c>
      <c r="J51" s="36">
        <f t="shared" si="32"/>
        <v>0.0135506286606211</v>
      </c>
      <c r="K51" s="35">
        <f>中口径明细!AD51</f>
        <v>163.5476</v>
      </c>
      <c r="L51" s="36">
        <f t="shared" si="33"/>
        <v>-0.0362233307502601</v>
      </c>
      <c r="M51" s="35">
        <f>中口径明细!AF51</f>
        <v>161.1131</v>
      </c>
      <c r="N51" s="36">
        <f t="shared" si="34"/>
        <v>0.00408081102691482</v>
      </c>
      <c r="O51" s="35">
        <f>中口径明细!AH51</f>
        <v>167.1169</v>
      </c>
      <c r="P51" s="36">
        <f t="shared" si="35"/>
        <v>0.00829663971309569</v>
      </c>
      <c r="Q51" s="35">
        <f>中口径明细!AJ51</f>
        <v>162.8831</v>
      </c>
      <c r="R51" s="36">
        <f t="shared" si="36"/>
        <v>0.0498894246666466</v>
      </c>
      <c r="S51" s="35">
        <f>中口径明细!AL51</f>
        <v>136.8044</v>
      </c>
      <c r="T51" s="36">
        <f t="shared" si="37"/>
        <v>-0.0722313813067418</v>
      </c>
      <c r="U51" s="35">
        <f>中口径明细!AN51</f>
        <v>145.8738</v>
      </c>
      <c r="V51" s="36">
        <f t="shared" si="38"/>
        <v>-0.0661584563688359</v>
      </c>
      <c r="W51" s="35">
        <f>中口径明细!AP51</f>
        <v>133.7493</v>
      </c>
      <c r="X51" s="36">
        <f t="shared" si="39"/>
        <v>-0.0632621759045258</v>
      </c>
      <c r="Y51" s="35">
        <f t="shared" si="26"/>
        <v>1594.5892</v>
      </c>
      <c r="Z51" s="36">
        <f t="shared" si="27"/>
        <v>6.69182634491783e-5</v>
      </c>
      <c r="AA51" s="37"/>
      <c r="AB51" s="38"/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28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295</v>
      </c>
      <c r="C52" s="35">
        <v>9.95999999999992</v>
      </c>
      <c r="D52" s="36">
        <f t="shared" si="29"/>
        <v>-0.0216110019646349</v>
      </c>
      <c r="E52" s="35">
        <v>9.98000000000002</v>
      </c>
      <c r="F52" s="36">
        <f t="shared" si="30"/>
        <v>-0.0167487684729045</v>
      </c>
      <c r="G52" s="35">
        <f>公交!Z41-公交!Z43</f>
        <v>9.97000000000003</v>
      </c>
      <c r="H52" s="36">
        <f t="shared" si="31"/>
        <v>-0.0177339901477805</v>
      </c>
      <c r="I52" s="35">
        <f>公交!AB41-公交!AB43</f>
        <v>9.9799999999999</v>
      </c>
      <c r="J52" s="36">
        <f t="shared" si="32"/>
        <v>-0.0177165354330803</v>
      </c>
      <c r="K52" s="35">
        <f>公交!AD41-公交!AD43</f>
        <v>10</v>
      </c>
      <c r="L52" s="36">
        <f t="shared" si="33"/>
        <v>-0.015748031496063</v>
      </c>
      <c r="M52" s="35">
        <f>公交!AF41-公交!AF43</f>
        <v>6.89999999999998</v>
      </c>
      <c r="N52" s="36">
        <f t="shared" si="34"/>
        <v>-0.320866141732286</v>
      </c>
      <c r="O52" s="35">
        <f>公交!AH41-公交!AH43</f>
        <v>7.40000000000009</v>
      </c>
      <c r="P52" s="36">
        <f t="shared" si="35"/>
        <v>-0.277343749999991</v>
      </c>
      <c r="Q52" s="35">
        <f>公交!AJ41-公交!AJ43</f>
        <v>8.20000000000005</v>
      </c>
      <c r="R52" s="36">
        <f t="shared" si="36"/>
        <v>-0.199999999999996</v>
      </c>
      <c r="S52" s="35">
        <f>公交!AL41-公交!AL43</f>
        <v>8.17999999999995</v>
      </c>
      <c r="T52" s="36">
        <f t="shared" si="37"/>
        <v>-0.182000000000005</v>
      </c>
      <c r="U52" s="35">
        <f>公交!AN41-公交!AN43</f>
        <v>8.18999999999994</v>
      </c>
      <c r="V52" s="36">
        <f t="shared" si="38"/>
        <v>-0.182634730538928</v>
      </c>
      <c r="W52" s="35">
        <f>公交!AP41-公交!AP43</f>
        <v>8.21000000000004</v>
      </c>
      <c r="X52" s="36">
        <f t="shared" si="39"/>
        <v>-0.173212487411885</v>
      </c>
      <c r="Y52" s="35">
        <f t="shared" si="26"/>
        <v>88.7599999999999</v>
      </c>
      <c r="Z52" s="36">
        <f t="shared" si="27"/>
        <v>-0.125258697151868</v>
      </c>
      <c r="AA52" s="37"/>
      <c r="AB52" s="38"/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28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296</v>
      </c>
      <c r="C53" s="35">
        <v>2.55999999999995</v>
      </c>
      <c r="D53" s="36">
        <f t="shared" si="29"/>
        <v>-0.082437275985668</v>
      </c>
      <c r="E53" s="35">
        <v>2.31999999999994</v>
      </c>
      <c r="F53" s="36">
        <f t="shared" si="30"/>
        <v>-0.609427609427616</v>
      </c>
      <c r="G53" s="35">
        <f>出租!Z41-出租!Z43</f>
        <v>2.35000000000002</v>
      </c>
      <c r="H53" s="36">
        <f t="shared" si="31"/>
        <v>-0.0856031128404366</v>
      </c>
      <c r="I53" s="35">
        <f>出租!AB41-出租!AB43</f>
        <v>2.15999999999997</v>
      </c>
      <c r="J53" s="36">
        <f t="shared" si="32"/>
        <v>-0.107438016528965</v>
      </c>
      <c r="K53" s="35">
        <f>出租!AD41-出租!AD43</f>
        <v>2.27999999999997</v>
      </c>
      <c r="L53" s="36">
        <f t="shared" si="33"/>
        <v>-0.0214592274677934</v>
      </c>
      <c r="M53" s="35">
        <f>出租!AF41-出租!AF43</f>
        <v>2.15999999999997</v>
      </c>
      <c r="N53" s="36">
        <f t="shared" si="34"/>
        <v>-0.0886075949367223</v>
      </c>
      <c r="O53" s="35">
        <f>出租!AH41-出租!AH43</f>
        <v>89.34</v>
      </c>
      <c r="P53" s="36">
        <f t="shared" si="35"/>
        <v>35.7654320987662</v>
      </c>
      <c r="Q53" s="35">
        <f>出租!AJ41-出租!AJ43</f>
        <v>138.36</v>
      </c>
      <c r="R53" s="36">
        <f t="shared" si="36"/>
        <v>59.6842105263166</v>
      </c>
      <c r="S53" s="35">
        <f>出租!AL41-出租!AL43</f>
        <v>143.74</v>
      </c>
      <c r="T53" s="36">
        <f t="shared" si="37"/>
        <v>68.4396135265721</v>
      </c>
      <c r="U53" s="35">
        <f>出租!AN41-出租!AN43</f>
        <v>113.58</v>
      </c>
      <c r="V53" s="36">
        <f t="shared" si="38"/>
        <v>52.8293838862556</v>
      </c>
      <c r="W53" s="35">
        <f>出租!AP41-出租!AP43</f>
        <v>112.75</v>
      </c>
      <c r="X53" s="36">
        <f t="shared" si="39"/>
        <v>53.7330097087363</v>
      </c>
      <c r="Y53" s="35">
        <f t="shared" si="26"/>
        <v>498.85</v>
      </c>
      <c r="Z53" s="36">
        <f t="shared" si="27"/>
        <v>17.2662028560969</v>
      </c>
      <c r="AA53" s="37"/>
      <c r="AB53" s="38"/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28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339</v>
      </c>
      <c r="C54" s="35">
        <v>1.83676723188347</v>
      </c>
      <c r="D54" s="36">
        <f t="shared" si="29"/>
        <v>-0.534194586322228</v>
      </c>
      <c r="E54" s="35">
        <v>4.74486777198075</v>
      </c>
      <c r="F54" s="36">
        <f t="shared" si="30"/>
        <v>0.830279117635182</v>
      </c>
      <c r="G54" s="35">
        <v>5.96865700461154</v>
      </c>
      <c r="H54" s="36">
        <f t="shared" si="31"/>
        <v>0.3970438943582</v>
      </c>
      <c r="I54" s="35">
        <f>网约车!AB41-网约车!AB43</f>
        <v>9.07035772850401</v>
      </c>
      <c r="J54" s="36">
        <f t="shared" si="32"/>
        <v>0.998220473746337</v>
      </c>
      <c r="K54" s="35">
        <f>网约车!AD41-网约车!AD43</f>
        <v>7.96846604618401</v>
      </c>
      <c r="L54" s="36">
        <f t="shared" si="33"/>
        <v>0.570611878077826</v>
      </c>
      <c r="M54" s="35">
        <f>网约车!AF41-网约车!AF43</f>
        <v>6.31767486456198</v>
      </c>
      <c r="N54" s="36">
        <f t="shared" si="34"/>
        <v>0.971973441209335</v>
      </c>
      <c r="O54" s="35">
        <f>网约车!AH41-网约车!AH43</f>
        <v>24.949779123069</v>
      </c>
      <c r="P54" s="36">
        <f t="shared" si="35"/>
        <v>6.41741627955498</v>
      </c>
      <c r="Q54" s="35">
        <f>网约车!AJ41-网约车!AJ43</f>
        <v>33.365483096567</v>
      </c>
      <c r="R54" s="36">
        <f t="shared" si="36"/>
        <v>18.2674052006633</v>
      </c>
      <c r="S54" s="35">
        <f>网约车!AL41-网约车!AL43</f>
        <v>31.3834569356564</v>
      </c>
      <c r="T54" s="36">
        <f t="shared" si="37"/>
        <v>9.03879555167295</v>
      </c>
      <c r="U54" s="35">
        <f>网约车!AN41-网约车!AN43</f>
        <v>26.008751919792</v>
      </c>
      <c r="V54" s="36">
        <f t="shared" si="38"/>
        <v>6.63091693600097</v>
      </c>
      <c r="W54" s="35">
        <f>网约车!AP41-网约车!AP43</f>
        <v>24.267096121931</v>
      </c>
      <c r="X54" s="36">
        <f t="shared" si="39"/>
        <v>7.54881883684254</v>
      </c>
      <c r="Y54" s="35">
        <f t="shared" si="26"/>
        <v>151.61426172281</v>
      </c>
      <c r="Z54" s="36">
        <f t="shared" si="27"/>
        <v>3.30058315413728</v>
      </c>
      <c r="AA54" s="37"/>
      <c r="AB54" s="38"/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28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337</v>
      </c>
      <c r="C55" s="35">
        <f>C56+C57+C58+C59</f>
        <v>398.964334059401</v>
      </c>
      <c r="D55" s="36">
        <f t="shared" si="29"/>
        <v>0.126499984078121</v>
      </c>
      <c r="E55" s="35">
        <f>E56+E57+E58+E59</f>
        <v>409.544649031016</v>
      </c>
      <c r="F55" s="36">
        <f t="shared" si="30"/>
        <v>0.230577178431109</v>
      </c>
      <c r="G55" s="35">
        <f>G56+G57+G58+G59</f>
        <v>401.794389146714</v>
      </c>
      <c r="H55" s="36">
        <f t="shared" si="31"/>
        <v>0.203835783131748</v>
      </c>
      <c r="I55" s="35">
        <f>I56+I57+I58+I59</f>
        <v>400.099431251918</v>
      </c>
      <c r="J55" s="36">
        <f t="shared" si="32"/>
        <v>0.148136902774348</v>
      </c>
      <c r="K55" s="35">
        <f>K56+K57+K58+K59</f>
        <v>396.573926587451</v>
      </c>
      <c r="L55" s="36">
        <f t="shared" si="33"/>
        <v>0.156683248920752</v>
      </c>
      <c r="M55" s="35">
        <f>M56+M57+M58+M59</f>
        <v>395.25403476562</v>
      </c>
      <c r="N55" s="36">
        <f t="shared" si="34"/>
        <v>0.169140706629804</v>
      </c>
      <c r="O55" s="35">
        <f>O56+O57+O58+O59</f>
        <v>410.74561537188</v>
      </c>
      <c r="P55" s="36">
        <f t="shared" si="35"/>
        <v>0.234491422355616</v>
      </c>
      <c r="Q55" s="35">
        <f>Q56+Q57+Q58+Q59</f>
        <v>420.834479239652</v>
      </c>
      <c r="R55" s="36">
        <f t="shared" si="36"/>
        <v>0.120969447582757</v>
      </c>
      <c r="S55" s="35">
        <f>S56+S57+S58+S59</f>
        <v>429.517110333672</v>
      </c>
      <c r="T55" s="36">
        <f t="shared" si="37"/>
        <v>0.0168191933170367</v>
      </c>
      <c r="U55" s="35">
        <f>U56+U57+U58+U59</f>
        <v>469.450202758492</v>
      </c>
      <c r="V55" s="36">
        <f t="shared" si="38"/>
        <v>0.0603788986399525</v>
      </c>
      <c r="W55" s="35">
        <f>W56+W57+W58+W59</f>
        <v>428.840999681525</v>
      </c>
      <c r="X55" s="36">
        <f t="shared" si="39"/>
        <v>0.0631284192704322</v>
      </c>
      <c r="Y55" s="35">
        <f t="shared" si="26"/>
        <v>4132.77817254582</v>
      </c>
      <c r="Z55" s="36">
        <f t="shared" si="27"/>
        <v>0.140576481325034</v>
      </c>
      <c r="AA55" s="37"/>
      <c r="AB55" s="38"/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28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338</v>
      </c>
      <c r="C56" s="35">
        <v>166.5997</v>
      </c>
      <c r="D56" s="36">
        <f t="shared" si="29"/>
        <v>0.103277853677014</v>
      </c>
      <c r="E56" s="35">
        <v>162.5623</v>
      </c>
      <c r="F56" s="36">
        <f t="shared" si="30"/>
        <v>0.0717705589003959</v>
      </c>
      <c r="G56" s="35">
        <v>156.3913</v>
      </c>
      <c r="H56" s="36">
        <f t="shared" si="31"/>
        <v>0.127754914551948</v>
      </c>
      <c r="I56" s="35">
        <f>中口径明细!AB56</f>
        <v>158.5341</v>
      </c>
      <c r="J56" s="36">
        <f t="shared" si="32"/>
        <v>0.124477336902515</v>
      </c>
      <c r="K56" s="35">
        <f>中口径明细!AD56</f>
        <v>153.939</v>
      </c>
      <c r="L56" s="36">
        <f t="shared" si="33"/>
        <v>0.103384359994925</v>
      </c>
      <c r="M56" s="35">
        <f>中口径明细!AF56</f>
        <v>150.4945</v>
      </c>
      <c r="N56" s="36">
        <f t="shared" si="34"/>
        <v>0.113090421747253</v>
      </c>
      <c r="O56" s="35">
        <f>中口径明细!AH56</f>
        <v>145.7717</v>
      </c>
      <c r="P56" s="36">
        <f t="shared" si="35"/>
        <v>0.113157046705164</v>
      </c>
      <c r="Q56" s="35">
        <f>中口径明细!AJ56</f>
        <v>146.7911</v>
      </c>
      <c r="R56" s="36">
        <f t="shared" si="36"/>
        <v>-0.0612489088275453</v>
      </c>
      <c r="S56" s="35">
        <f>中口径明细!AL56</f>
        <v>151.2837</v>
      </c>
      <c r="T56" s="36">
        <f t="shared" si="37"/>
        <v>-0.188739477412567</v>
      </c>
      <c r="U56" s="35">
        <f>中口径明细!AN56</f>
        <v>156.9226</v>
      </c>
      <c r="V56" s="36">
        <f t="shared" si="38"/>
        <v>-0.226213053173056</v>
      </c>
      <c r="W56" s="35">
        <f>中口径明细!AP56</f>
        <v>149.9079</v>
      </c>
      <c r="X56" s="36">
        <f t="shared" si="39"/>
        <v>-0.136593600646916</v>
      </c>
      <c r="Y56" s="35">
        <f t="shared" si="26"/>
        <v>1549.29</v>
      </c>
      <c r="Z56" s="36">
        <f t="shared" si="27"/>
        <v>0.0101915046734291</v>
      </c>
      <c r="AA56" s="37"/>
      <c r="AB56" s="38"/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28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295</v>
      </c>
      <c r="C57" s="35">
        <v>210.96</v>
      </c>
      <c r="D57" s="36">
        <f t="shared" si="29"/>
        <v>0.168559242231208</v>
      </c>
      <c r="E57" s="35">
        <v>224.46</v>
      </c>
      <c r="F57" s="36">
        <f t="shared" si="30"/>
        <v>0.357073760580411</v>
      </c>
      <c r="G57" s="35">
        <f>公交!Z45-公交!Z47</f>
        <v>227.7</v>
      </c>
      <c r="H57" s="36">
        <f t="shared" si="31"/>
        <v>0.315044758879584</v>
      </c>
      <c r="I57" s="35">
        <f>公交!AB45-公交!AB47</f>
        <v>222.66</v>
      </c>
      <c r="J57" s="36">
        <f t="shared" si="32"/>
        <v>0.197676294981443</v>
      </c>
      <c r="K57" s="35">
        <f>公交!AD45-公交!AD47</f>
        <v>225.43</v>
      </c>
      <c r="L57" s="36">
        <f t="shared" si="33"/>
        <v>0.21860641115736</v>
      </c>
      <c r="M57" s="35">
        <f>公交!AF45-公交!AF47</f>
        <v>226.78</v>
      </c>
      <c r="N57" s="36">
        <f t="shared" si="34"/>
        <v>0.229159891598916</v>
      </c>
      <c r="O57" s="35">
        <f>公交!AH45-公交!AH47</f>
        <v>224.32</v>
      </c>
      <c r="P57" s="36">
        <f t="shared" si="35"/>
        <v>0.223585883379698</v>
      </c>
      <c r="Q57" s="35">
        <f>公交!AJ45-公交!AJ47</f>
        <v>231.92</v>
      </c>
      <c r="R57" s="36">
        <f t="shared" si="36"/>
        <v>0.152340256384776</v>
      </c>
      <c r="S57" s="35">
        <f>公交!AL45-公交!AL47</f>
        <v>236.7</v>
      </c>
      <c r="T57" s="36">
        <f t="shared" si="37"/>
        <v>0.0900801326333238</v>
      </c>
      <c r="U57" s="35">
        <f>公交!AN45-公交!AN47</f>
        <v>251.69</v>
      </c>
      <c r="V57" s="36">
        <f t="shared" si="38"/>
        <v>0.143785503294706</v>
      </c>
      <c r="W57" s="35">
        <f>公交!AP45-公交!AP47</f>
        <v>240.85</v>
      </c>
      <c r="X57" s="36">
        <f t="shared" si="39"/>
        <v>0.138340107760658</v>
      </c>
      <c r="Y57" s="35">
        <f t="shared" si="26"/>
        <v>2282.62</v>
      </c>
      <c r="Z57" s="36">
        <f t="shared" si="27"/>
        <v>0.203748431122314</v>
      </c>
      <c r="AA57" s="37"/>
      <c r="AB57" s="38"/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28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296</v>
      </c>
      <c r="C58" s="35">
        <v>18.01</v>
      </c>
      <c r="D58" s="36">
        <f t="shared" si="29"/>
        <v>0.104907975460116</v>
      </c>
      <c r="E58" s="35">
        <v>17.82</v>
      </c>
      <c r="F58" s="36">
        <f t="shared" si="30"/>
        <v>0.578387953941541</v>
      </c>
      <c r="G58" s="35">
        <f>出租!Z45-出租!Z47</f>
        <v>12.5</v>
      </c>
      <c r="H58" s="36">
        <f t="shared" si="31"/>
        <v>-0.223119950279672</v>
      </c>
      <c r="I58" s="35">
        <f>出租!AB45-出租!AB47</f>
        <v>12.32</v>
      </c>
      <c r="J58" s="36">
        <f t="shared" si="32"/>
        <v>-0.195822454308094</v>
      </c>
      <c r="K58" s="35">
        <f>出租!AD45-出租!AD47</f>
        <v>11.15</v>
      </c>
      <c r="L58" s="36">
        <f t="shared" si="33"/>
        <v>-0.0510638297872311</v>
      </c>
      <c r="M58" s="35">
        <f>出租!AF45-出租!AF47</f>
        <v>12.03</v>
      </c>
      <c r="N58" s="36">
        <f t="shared" si="34"/>
        <v>-0.0774539877300634</v>
      </c>
      <c r="O58" s="35">
        <f>出租!AH45-出租!AH47</f>
        <v>29.04</v>
      </c>
      <c r="P58" s="36">
        <f t="shared" si="35"/>
        <v>1.21848739495798</v>
      </c>
      <c r="Q58" s="35">
        <f>出租!AJ45-出租!AJ47</f>
        <v>29.31</v>
      </c>
      <c r="R58" s="36">
        <f t="shared" si="36"/>
        <v>1.18405365126677</v>
      </c>
      <c r="S58" s="35">
        <f>出租!AL45-出租!AL47</f>
        <v>29.86</v>
      </c>
      <c r="T58" s="36">
        <f t="shared" si="37"/>
        <v>1.2085798816568</v>
      </c>
      <c r="U58" s="35">
        <f>出租!AN45-出租!AN47</f>
        <v>44.85</v>
      </c>
      <c r="V58" s="36">
        <f t="shared" si="38"/>
        <v>2.15622800844475</v>
      </c>
      <c r="W58" s="35">
        <f>出租!AP45-出租!AP47</f>
        <v>27.6</v>
      </c>
      <c r="X58" s="36">
        <f t="shared" si="39"/>
        <v>1.12798766383963</v>
      </c>
      <c r="Y58" s="35">
        <f t="shared" si="26"/>
        <v>216.89</v>
      </c>
      <c r="Z58" s="36">
        <f t="shared" si="27"/>
        <v>0.571325074259218</v>
      </c>
      <c r="AA58" s="37"/>
      <c r="AB58" s="38"/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28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339</v>
      </c>
      <c r="C59" s="35">
        <v>3.39463405940097</v>
      </c>
      <c r="D59" s="36">
        <f t="shared" si="29"/>
        <v>-0.463591686561816</v>
      </c>
      <c r="E59" s="35">
        <v>4.70234903101626</v>
      </c>
      <c r="F59" s="36">
        <f t="shared" si="30"/>
        <v>0.0589542066593256</v>
      </c>
      <c r="G59" s="35">
        <v>5.20308914671398</v>
      </c>
      <c r="H59" s="36">
        <f t="shared" si="31"/>
        <v>-0.110110382547706</v>
      </c>
      <c r="I59" s="35">
        <f>网约车!AB45-网约车!AB47</f>
        <v>6.5853312519176</v>
      </c>
      <c r="J59" s="36">
        <f t="shared" si="32"/>
        <v>0.051564795083467</v>
      </c>
      <c r="K59" s="35">
        <f>网约车!AD45-网约车!AD47</f>
        <v>6.05492658745081</v>
      </c>
      <c r="L59" s="36">
        <f t="shared" si="33"/>
        <v>-0.0824599934503607</v>
      </c>
      <c r="M59" s="35">
        <f>网约车!AF45-网约车!AF47</f>
        <v>5.9495347656204</v>
      </c>
      <c r="N59" s="36">
        <f t="shared" si="34"/>
        <v>0.11664295648199</v>
      </c>
      <c r="O59" s="35">
        <f>网约车!AH45-网约车!AH47</f>
        <v>11.6139153718801</v>
      </c>
      <c r="P59" s="36">
        <f t="shared" si="35"/>
        <v>1.17035470684085</v>
      </c>
      <c r="Q59" s="35">
        <f>网约车!AJ45-网约车!AJ47</f>
        <v>12.8133792396517</v>
      </c>
      <c r="R59" s="36">
        <f t="shared" si="36"/>
        <v>1.93103999590629</v>
      </c>
      <c r="S59" s="35">
        <f>网约车!AL45-网约车!AL47</f>
        <v>11.6734103336723</v>
      </c>
      <c r="T59" s="36">
        <f t="shared" si="37"/>
        <v>1.21394531779206</v>
      </c>
      <c r="U59" s="35">
        <f>网约车!AN45-网约车!AN47</f>
        <v>15.987602758492</v>
      </c>
      <c r="V59" s="36">
        <f t="shared" si="38"/>
        <v>1.82411640392924</v>
      </c>
      <c r="W59" s="35">
        <f>网约车!AP45-网约车!AP47</f>
        <v>10.4830996815251</v>
      </c>
      <c r="X59" s="36">
        <f t="shared" si="39"/>
        <v>1.01494219103345</v>
      </c>
      <c r="Y59" s="35">
        <f t="shared" si="26"/>
        <v>83.9781725458161</v>
      </c>
      <c r="Z59" s="36">
        <f t="shared" si="27"/>
        <v>0.514156817637149</v>
      </c>
      <c r="AA59" s="37"/>
      <c r="AB59" s="38"/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28"/>
        <v>66.3675231758554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337</v>
      </c>
      <c r="C60" s="35">
        <f>C61+C62+C63+C64</f>
        <v>281.360235814766</v>
      </c>
      <c r="D60" s="36">
        <f t="shared" si="29"/>
        <v>-0.101128379952309</v>
      </c>
      <c r="E60" s="35">
        <f>E61+E62+E63+E64</f>
        <v>258.086069529272</v>
      </c>
      <c r="F60" s="36">
        <f t="shared" si="30"/>
        <v>0.139049118361599</v>
      </c>
      <c r="G60" s="35">
        <f>G61+G62+G63+G64</f>
        <v>264.321221724814</v>
      </c>
      <c r="H60" s="36">
        <f t="shared" si="31"/>
        <v>0.169762168157121</v>
      </c>
      <c r="I60" s="35">
        <f>I61+I62+I63+I64</f>
        <v>269.900119375197</v>
      </c>
      <c r="J60" s="36">
        <f t="shared" si="32"/>
        <v>0.121637171068358</v>
      </c>
      <c r="K60" s="35">
        <f>K61+K62+K63+K64</f>
        <v>276.95465035194</v>
      </c>
      <c r="L60" s="36">
        <f t="shared" si="33"/>
        <v>0.116033900025859</v>
      </c>
      <c r="M60" s="35">
        <f>M61+M62+M63+M64</f>
        <v>263.018510087993</v>
      </c>
      <c r="N60" s="36">
        <f t="shared" si="34"/>
        <v>0.0594875719271379</v>
      </c>
      <c r="O60" s="35">
        <f>O61+O62+O63+O64</f>
        <v>250.327372611932</v>
      </c>
      <c r="P60" s="36">
        <f t="shared" si="35"/>
        <v>0.0505364385944604</v>
      </c>
      <c r="Q60" s="35">
        <f>Q61+Q62+Q63+Q64</f>
        <v>256.638646009901</v>
      </c>
      <c r="R60" s="36">
        <f t="shared" si="36"/>
        <v>0.013231799010774</v>
      </c>
      <c r="S60" s="35">
        <f>S61+S62+S63+S64</f>
        <v>261.827751516729</v>
      </c>
      <c r="T60" s="36">
        <f t="shared" si="37"/>
        <v>0.0272832309601347</v>
      </c>
      <c r="U60" s="35">
        <f>U61+U62+U63+U64</f>
        <v>284.118072664296</v>
      </c>
      <c r="V60" s="36">
        <f t="shared" si="38"/>
        <v>0.0488724971258798</v>
      </c>
      <c r="W60" s="35">
        <f>W61+W62+W63+W64</f>
        <v>289.373025545867</v>
      </c>
      <c r="X60" s="36">
        <f t="shared" si="39"/>
        <v>0.115066398406847</v>
      </c>
      <c r="Y60" s="35">
        <f t="shared" si="26"/>
        <v>2666.55264968684</v>
      </c>
      <c r="Z60" s="36">
        <f t="shared" si="27"/>
        <v>0.0581879046076594</v>
      </c>
      <c r="AA60" s="37"/>
      <c r="AB60" s="38"/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28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338</v>
      </c>
      <c r="C61" s="35">
        <v>59.0891</v>
      </c>
      <c r="D61" s="36">
        <f t="shared" si="29"/>
        <v>0.11612905663086</v>
      </c>
      <c r="E61" s="35">
        <v>65.0316</v>
      </c>
      <c r="F61" s="36">
        <f t="shared" si="30"/>
        <v>0.315010322870263</v>
      </c>
      <c r="G61" s="35">
        <v>65.3187</v>
      </c>
      <c r="H61" s="36">
        <f t="shared" si="31"/>
        <v>0.24766630947401</v>
      </c>
      <c r="I61" s="35">
        <f>中口径明细!AB61</f>
        <v>60.1882</v>
      </c>
      <c r="J61" s="36">
        <f t="shared" si="32"/>
        <v>0.236809064587653</v>
      </c>
      <c r="K61" s="35">
        <f>中口径明细!AD61</f>
        <v>57.1571</v>
      </c>
      <c r="L61" s="36">
        <f t="shared" si="33"/>
        <v>0.0872611271110029</v>
      </c>
      <c r="M61" s="35">
        <f>中口径明细!AF61</f>
        <v>59.0458</v>
      </c>
      <c r="N61" s="36">
        <f t="shared" si="34"/>
        <v>0.13754373256477</v>
      </c>
      <c r="O61" s="35">
        <f>中口径明细!AH61</f>
        <v>53.5025</v>
      </c>
      <c r="P61" s="36">
        <f t="shared" si="35"/>
        <v>0.102862360963383</v>
      </c>
      <c r="Q61" s="35">
        <f>中口径明细!AJ61</f>
        <v>53.6282</v>
      </c>
      <c r="R61" s="36">
        <f t="shared" si="36"/>
        <v>0.0152202967579254</v>
      </c>
      <c r="S61" s="35">
        <f>中口径明细!AL61</f>
        <v>53.3324</v>
      </c>
      <c r="T61" s="36">
        <f t="shared" si="37"/>
        <v>-0.0428362216255798</v>
      </c>
      <c r="U61" s="35">
        <f>中口径明细!AN61</f>
        <v>52.6712</v>
      </c>
      <c r="V61" s="36">
        <f t="shared" si="38"/>
        <v>-0.131738066821841</v>
      </c>
      <c r="W61" s="35">
        <f>中口径明细!AP61</f>
        <v>48.952</v>
      </c>
      <c r="X61" s="36">
        <f t="shared" si="39"/>
        <v>-0.184435092349164</v>
      </c>
      <c r="Y61" s="35">
        <f t="shared" si="26"/>
        <v>578.9648</v>
      </c>
      <c r="Z61" s="36">
        <f t="shared" si="27"/>
        <v>0.10151862802175</v>
      </c>
      <c r="AA61" s="37"/>
      <c r="AB61" s="38"/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28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295</v>
      </c>
      <c r="C62" s="35">
        <v>144.7</v>
      </c>
      <c r="D62" s="36">
        <f t="shared" si="29"/>
        <v>-0.0920499466649936</v>
      </c>
      <c r="E62" s="35">
        <v>130.01</v>
      </c>
      <c r="F62" s="36">
        <f t="shared" si="30"/>
        <v>0.0502463850068664</v>
      </c>
      <c r="G62" s="35">
        <f>公交!Z49-公交!Z51</f>
        <v>133.32</v>
      </c>
      <c r="H62" s="36">
        <f t="shared" si="31"/>
        <v>0.103551030543829</v>
      </c>
      <c r="I62" s="35">
        <f>公交!AB49-公交!AB51</f>
        <v>140.6</v>
      </c>
      <c r="J62" s="36">
        <f t="shared" si="32"/>
        <v>0.0433363015731665</v>
      </c>
      <c r="K62" s="35">
        <f>公交!AD49-公交!AD51</f>
        <v>144.09</v>
      </c>
      <c r="L62" s="36">
        <f t="shared" si="33"/>
        <v>0.0432232841007814</v>
      </c>
      <c r="M62" s="35">
        <f>公交!AF49-公交!AF51</f>
        <v>132.7</v>
      </c>
      <c r="N62" s="36">
        <f t="shared" si="34"/>
        <v>0.0220271102895875</v>
      </c>
      <c r="O62" s="35">
        <f>公交!AH49-公交!AH51</f>
        <v>128.36</v>
      </c>
      <c r="P62" s="36">
        <f t="shared" si="35"/>
        <v>0.0151850680164507</v>
      </c>
      <c r="Q62" s="35">
        <f>公交!AJ49-公交!AJ51</f>
        <v>133.54</v>
      </c>
      <c r="R62" s="36">
        <f t="shared" si="36"/>
        <v>-0.0221864245441901</v>
      </c>
      <c r="S62" s="35">
        <f>公交!AL49-公交!AL51</f>
        <v>141.73</v>
      </c>
      <c r="T62" s="36">
        <f t="shared" si="37"/>
        <v>0.0714393710311463</v>
      </c>
      <c r="U62" s="35">
        <f>公交!AN49-公交!AN51</f>
        <v>157.78</v>
      </c>
      <c r="V62" s="36">
        <f t="shared" si="38"/>
        <v>0.143167656861324</v>
      </c>
      <c r="W62" s="35">
        <f>公交!AP49-公交!AP51</f>
        <v>160.3</v>
      </c>
      <c r="X62" s="36">
        <f t="shared" si="39"/>
        <v>0.234881750250366</v>
      </c>
      <c r="Y62" s="35">
        <f t="shared" si="26"/>
        <v>1386.83</v>
      </c>
      <c r="Z62" s="36">
        <f t="shared" si="27"/>
        <v>0.0349477611940296</v>
      </c>
      <c r="AA62" s="37"/>
      <c r="AB62" s="38"/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28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296</v>
      </c>
      <c r="C63" s="35">
        <v>44.66</v>
      </c>
      <c r="D63" s="36">
        <f t="shared" si="29"/>
        <v>-0.330936329588015</v>
      </c>
      <c r="E63" s="35">
        <v>42.32</v>
      </c>
      <c r="F63" s="36">
        <f t="shared" si="30"/>
        <v>0.153762268266085</v>
      </c>
      <c r="G63" s="35">
        <f>出租!Z49-出租!Z51</f>
        <v>42.21</v>
      </c>
      <c r="H63" s="36">
        <f t="shared" si="31"/>
        <v>0.254383358098069</v>
      </c>
      <c r="I63" s="35">
        <f>出租!AB49-出租!AB51</f>
        <v>44.42</v>
      </c>
      <c r="J63" s="36">
        <f t="shared" si="32"/>
        <v>0.257288423436173</v>
      </c>
      <c r="K63" s="35">
        <f>出租!AD49-出租!AD51</f>
        <v>47.35</v>
      </c>
      <c r="L63" s="36">
        <f t="shared" si="33"/>
        <v>0.336060948081264</v>
      </c>
      <c r="M63" s="35">
        <f>出租!AF49-出租!AF51</f>
        <v>45.2</v>
      </c>
      <c r="N63" s="36">
        <f t="shared" si="34"/>
        <v>0.189473684210527</v>
      </c>
      <c r="O63" s="35">
        <f>出租!AH49-出租!AH51</f>
        <v>43.21</v>
      </c>
      <c r="P63" s="36">
        <f t="shared" si="35"/>
        <v>0.178990450204639</v>
      </c>
      <c r="Q63" s="35">
        <f>出租!AJ49-出租!AJ51</f>
        <v>43.69</v>
      </c>
      <c r="R63" s="36">
        <f t="shared" si="36"/>
        <v>0.163515312916112</v>
      </c>
      <c r="S63" s="35">
        <f>出租!AL49-出租!AL51</f>
        <v>42.8</v>
      </c>
      <c r="T63" s="36">
        <f t="shared" si="37"/>
        <v>0.104801239029427</v>
      </c>
      <c r="U63" s="35">
        <f>出租!AN49-出租!AN51</f>
        <v>41.49</v>
      </c>
      <c r="V63" s="36">
        <f t="shared" si="38"/>
        <v>-0.020306965761511</v>
      </c>
      <c r="W63" s="35">
        <f>出租!AP49-出租!AP51</f>
        <v>44.51</v>
      </c>
      <c r="X63" s="36">
        <f t="shared" si="39"/>
        <v>0.101732673267326</v>
      </c>
      <c r="Y63" s="35">
        <f t="shared" si="26"/>
        <v>437.35</v>
      </c>
      <c r="Z63" s="36">
        <f t="shared" si="27"/>
        <v>0.0902677369496934</v>
      </c>
      <c r="AA63" s="37"/>
      <c r="AB63" s="38"/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28"/>
        <v>450.75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339</v>
      </c>
      <c r="C64" s="35">
        <v>32.911135814766</v>
      </c>
      <c r="D64" s="36">
        <f t="shared" si="29"/>
        <v>-0.0307091324028302</v>
      </c>
      <c r="E64" s="35">
        <v>20.7244695292723</v>
      </c>
      <c r="F64" s="36">
        <f t="shared" si="30"/>
        <v>0.244191206740362</v>
      </c>
      <c r="G64" s="35">
        <v>23.4725217248139</v>
      </c>
      <c r="H64" s="36">
        <f t="shared" si="31"/>
        <v>0.2257955484245</v>
      </c>
      <c r="I64" s="35">
        <f>网约车!AB49-网约车!AB51</f>
        <v>24.6919193751967</v>
      </c>
      <c r="J64" s="36">
        <f t="shared" si="32"/>
        <v>0.128700940486514</v>
      </c>
      <c r="K64" s="35">
        <f>网约车!AD49-网约车!AD51</f>
        <v>28.3575503519405</v>
      </c>
      <c r="L64" s="36">
        <f t="shared" si="33"/>
        <v>0.287229442618037</v>
      </c>
      <c r="M64" s="35">
        <f>网约车!AF49-网约车!AF51</f>
        <v>26.0727100879927</v>
      </c>
      <c r="N64" s="36">
        <f t="shared" si="34"/>
        <v>-0.0853054288846963</v>
      </c>
      <c r="O64" s="35">
        <f>网约车!AH49-网约车!AH51</f>
        <v>25.254872611932</v>
      </c>
      <c r="P64" s="36">
        <f t="shared" si="35"/>
        <v>-0.0535178460206367</v>
      </c>
      <c r="Q64" s="35">
        <f>网约车!AJ49-网约车!AJ51</f>
        <v>25.7804460099008</v>
      </c>
      <c r="R64" s="36">
        <f t="shared" si="36"/>
        <v>-0.0213549957913065</v>
      </c>
      <c r="S64" s="35">
        <f>网约车!AL49-网约车!AL51</f>
        <v>23.9653515167286</v>
      </c>
      <c r="T64" s="36">
        <f t="shared" si="37"/>
        <v>-0.14819439690655</v>
      </c>
      <c r="U64" s="35">
        <f>网约车!AN49-网约车!AN51</f>
        <v>32.176872664296</v>
      </c>
      <c r="V64" s="36">
        <f t="shared" si="38"/>
        <v>0.0780708475456429</v>
      </c>
      <c r="W64" s="35">
        <f>网约车!AP49-网约车!AP51</f>
        <v>35.611025545867</v>
      </c>
      <c r="X64" s="36">
        <f t="shared" si="39"/>
        <v>0.216235047819506</v>
      </c>
      <c r="Y64" s="35">
        <f t="shared" si="26"/>
        <v>263.407849686839</v>
      </c>
      <c r="Z64" s="36">
        <f t="shared" si="27"/>
        <v>0.0404074991070771</v>
      </c>
      <c r="AA64" s="37"/>
      <c r="AB64" s="38"/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28"/>
        <v>291.598003297571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337</v>
      </c>
      <c r="C65" s="35">
        <f>C66+C67+C68+C69</f>
        <v>179.249416193159</v>
      </c>
      <c r="D65" s="36">
        <f t="shared" si="29"/>
        <v>0.0581967425739556</v>
      </c>
      <c r="E65" s="35">
        <f>E66+E67+E68+E69</f>
        <v>182.71198514995</v>
      </c>
      <c r="F65" s="36">
        <f t="shared" si="30"/>
        <v>0.0120539441888419</v>
      </c>
      <c r="G65" s="35">
        <f>G66+G67+G68+G69</f>
        <v>175.42682398292</v>
      </c>
      <c r="H65" s="36">
        <f t="shared" si="31"/>
        <v>-0.000465122800653806</v>
      </c>
      <c r="I65" s="35">
        <f>I66+I67+I68+I69</f>
        <v>176.563760617838</v>
      </c>
      <c r="J65" s="36">
        <f t="shared" si="32"/>
        <v>0.0298344814689666</v>
      </c>
      <c r="K65" s="35">
        <f>K66+K67+K68+K69</f>
        <v>178.24978250856</v>
      </c>
      <c r="L65" s="36">
        <f t="shared" si="33"/>
        <v>0.0197883905226988</v>
      </c>
      <c r="M65" s="35">
        <f>M66+M67+M68+M69</f>
        <v>172.866765766731</v>
      </c>
      <c r="N65" s="36">
        <f t="shared" si="34"/>
        <v>0.00847262939932913</v>
      </c>
      <c r="O65" s="35">
        <f>O66+O67+O68+O69</f>
        <v>169.0760705958</v>
      </c>
      <c r="P65" s="36">
        <f t="shared" si="35"/>
        <v>0.0086376871228715</v>
      </c>
      <c r="Q65" s="35">
        <f>Q66+Q67+Q68+Q69</f>
        <v>162.008776908897</v>
      </c>
      <c r="R65" s="36">
        <f t="shared" si="36"/>
        <v>0.00172843221068919</v>
      </c>
      <c r="S65" s="35">
        <f>S66+S67+S68+S69</f>
        <v>160.265225367767</v>
      </c>
      <c r="T65" s="36">
        <f t="shared" si="37"/>
        <v>-0.00635398790274233</v>
      </c>
      <c r="U65" s="35">
        <f>U66+U67+U68+U69</f>
        <v>169.875458816801</v>
      </c>
      <c r="V65" s="36">
        <f t="shared" si="38"/>
        <v>-0.0112468878635033</v>
      </c>
      <c r="W65" s="35">
        <f>W66+W67+W68+W69</f>
        <v>165.936464972812</v>
      </c>
      <c r="X65" s="36">
        <f t="shared" si="39"/>
        <v>-0.0276772506969024</v>
      </c>
      <c r="Y65" s="35">
        <f t="shared" si="26"/>
        <v>1726.29406590842</v>
      </c>
      <c r="Z65" s="36">
        <f t="shared" si="27"/>
        <v>0.0121656879794878</v>
      </c>
      <c r="AA65" s="37"/>
      <c r="AB65" s="38"/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28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338</v>
      </c>
      <c r="C66" s="35">
        <v>130.3227</v>
      </c>
      <c r="D66" s="36">
        <f t="shared" si="29"/>
        <v>0.0506683844212132</v>
      </c>
      <c r="E66" s="35">
        <v>133.2669</v>
      </c>
      <c r="F66" s="36">
        <f t="shared" si="30"/>
        <v>0.0268013166045655</v>
      </c>
      <c r="G66" s="35">
        <v>128.1825</v>
      </c>
      <c r="H66" s="36">
        <f t="shared" si="31"/>
        <v>0.0293964118790253</v>
      </c>
      <c r="I66" s="35">
        <f>中口径明细!AB66</f>
        <v>130.1364</v>
      </c>
      <c r="J66" s="36">
        <f t="shared" si="32"/>
        <v>0.0342856007470842</v>
      </c>
      <c r="K66" s="35">
        <f>中口径明细!AD66</f>
        <v>133.1321</v>
      </c>
      <c r="L66" s="36">
        <f t="shared" si="33"/>
        <v>0.0140276821458385</v>
      </c>
      <c r="M66" s="35">
        <f>中口径明细!AF66</f>
        <v>130.7896</v>
      </c>
      <c r="N66" s="36">
        <f t="shared" si="34"/>
        <v>0.0195348431132272</v>
      </c>
      <c r="O66" s="35">
        <f>中口径明细!AH66</f>
        <v>128.1039</v>
      </c>
      <c r="P66" s="36">
        <f t="shared" si="35"/>
        <v>0.0138267192584807</v>
      </c>
      <c r="Q66" s="35">
        <f>中口径明细!AJ66</f>
        <v>120.2483</v>
      </c>
      <c r="R66" s="36">
        <f t="shared" si="36"/>
        <v>-0.0277481763451223</v>
      </c>
      <c r="S66" s="35">
        <f>中口径明细!AL66</f>
        <v>118.1387</v>
      </c>
      <c r="T66" s="36">
        <f t="shared" si="37"/>
        <v>-0.0452250219421245</v>
      </c>
      <c r="U66" s="35">
        <f>中口径明细!AN66</f>
        <v>123.2278</v>
      </c>
      <c r="V66" s="36">
        <f t="shared" si="38"/>
        <v>-0.0515357113994003</v>
      </c>
      <c r="W66" s="35">
        <f>中口径明细!AP66</f>
        <v>118.7277</v>
      </c>
      <c r="X66" s="36">
        <f t="shared" si="39"/>
        <v>-0.0707046751356047</v>
      </c>
      <c r="Y66" s="35">
        <f t="shared" si="26"/>
        <v>1275.5489</v>
      </c>
      <c r="Z66" s="36">
        <f t="shared" si="27"/>
        <v>0.00639793650176257</v>
      </c>
      <c r="AA66" s="37"/>
      <c r="AB66" s="38"/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28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295</v>
      </c>
      <c r="C67" s="35">
        <v>37.07</v>
      </c>
      <c r="D67" s="36">
        <f t="shared" si="29"/>
        <v>0.110545236668664</v>
      </c>
      <c r="E67" s="35">
        <v>37.5</v>
      </c>
      <c r="F67" s="36">
        <f t="shared" si="30"/>
        <v>0.0305028854080791</v>
      </c>
      <c r="G67" s="35">
        <f>公交!Z53-公交!Z55</f>
        <v>35.26</v>
      </c>
      <c r="H67" s="36">
        <f t="shared" si="31"/>
        <v>-0.0488265443755053</v>
      </c>
      <c r="I67" s="35">
        <f>公交!AB53-公交!AB55</f>
        <v>34.19</v>
      </c>
      <c r="J67" s="36">
        <f t="shared" si="32"/>
        <v>0.0751572327044023</v>
      </c>
      <c r="K67" s="35">
        <f>公交!AD53-公交!AD55</f>
        <v>32.16</v>
      </c>
      <c r="L67" s="36">
        <f t="shared" si="33"/>
        <v>0.0788326065078833</v>
      </c>
      <c r="M67" s="35">
        <f>公交!AF53-公交!AF55</f>
        <v>29.38</v>
      </c>
      <c r="N67" s="36">
        <f t="shared" si="34"/>
        <v>0.0173130193905815</v>
      </c>
      <c r="O67" s="35">
        <f>公交!AH53-公交!AH55</f>
        <v>27.58</v>
      </c>
      <c r="P67" s="36">
        <f t="shared" si="35"/>
        <v>0.00254452926208582</v>
      </c>
      <c r="Q67" s="35">
        <f>公交!AJ53-公交!AJ55</f>
        <v>27.82</v>
      </c>
      <c r="R67" s="36">
        <f t="shared" si="36"/>
        <v>0.124494745351657</v>
      </c>
      <c r="S67" s="35">
        <f>公交!AL53-公交!AL55</f>
        <v>28.46</v>
      </c>
      <c r="T67" s="36">
        <f t="shared" si="37"/>
        <v>0.167350287120591</v>
      </c>
      <c r="U67" s="35">
        <f>公交!AN53-公交!AN55</f>
        <v>32.53</v>
      </c>
      <c r="V67" s="36">
        <f t="shared" si="38"/>
        <v>0.156416637042304</v>
      </c>
      <c r="W67" s="35">
        <f>公交!AP53-公交!AP55</f>
        <v>32.45</v>
      </c>
      <c r="X67" s="36">
        <f t="shared" si="39"/>
        <v>0.103741496598639</v>
      </c>
      <c r="Y67" s="35">
        <f t="shared" si="26"/>
        <v>321.95</v>
      </c>
      <c r="Z67" s="36">
        <f t="shared" si="27"/>
        <v>0.0657419974179876</v>
      </c>
      <c r="AA67" s="37"/>
      <c r="AB67" s="38"/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28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296</v>
      </c>
      <c r="C68" s="35">
        <v>10.52</v>
      </c>
      <c r="D68" s="36">
        <f t="shared" si="29"/>
        <v>0.346991037131882</v>
      </c>
      <c r="E68" s="35">
        <v>10.27</v>
      </c>
      <c r="F68" s="36">
        <f t="shared" si="30"/>
        <v>-0.0481927710843373</v>
      </c>
      <c r="G68" s="35">
        <f>出租!Z53-出租!Z55</f>
        <v>10.12</v>
      </c>
      <c r="H68" s="36">
        <f t="shared" si="31"/>
        <v>-0.00295566502463018</v>
      </c>
      <c r="I68" s="35">
        <f>出租!AB53-出租!AB55</f>
        <v>9.94999999999999</v>
      </c>
      <c r="J68" s="36">
        <f t="shared" si="32"/>
        <v>0.00302419354838701</v>
      </c>
      <c r="K68" s="35">
        <f>出租!AD53-出租!AD55</f>
        <v>10.66</v>
      </c>
      <c r="L68" s="36">
        <f t="shared" si="33"/>
        <v>0.0533596837944661</v>
      </c>
      <c r="M68" s="35">
        <f>出租!AF53-出租!AF55</f>
        <v>10.46</v>
      </c>
      <c r="N68" s="36">
        <f t="shared" si="34"/>
        <v>-0.0421245421245414</v>
      </c>
      <c r="O68" s="35">
        <f>出租!AH53-出租!AH55</f>
        <v>10.32</v>
      </c>
      <c r="P68" s="36">
        <f t="shared" si="35"/>
        <v>0.0424242424242407</v>
      </c>
      <c r="Q68" s="35">
        <f>出租!AJ53-出租!AJ55</f>
        <v>10.32</v>
      </c>
      <c r="R68" s="36">
        <f t="shared" si="36"/>
        <v>0.0382293762575474</v>
      </c>
      <c r="S68" s="35">
        <f>出租!AL53-出租!AL55</f>
        <v>10.16</v>
      </c>
      <c r="T68" s="36">
        <f t="shared" si="37"/>
        <v>0.0221327967806839</v>
      </c>
      <c r="U68" s="35">
        <f>出租!AN53-出租!AN55</f>
        <v>10.15</v>
      </c>
      <c r="V68" s="36">
        <f t="shared" si="38"/>
        <v>0.00197433366238942</v>
      </c>
      <c r="W68" s="35">
        <f>出租!AP53-出租!AP55</f>
        <v>9.77000000000001</v>
      </c>
      <c r="X68" s="36">
        <f t="shared" si="39"/>
        <v>-0.00509164969449893</v>
      </c>
      <c r="Y68" s="35">
        <f t="shared" si="26"/>
        <v>102.93</v>
      </c>
      <c r="Z68" s="36">
        <f t="shared" si="27"/>
        <v>0.0332262597871915</v>
      </c>
      <c r="AA68" s="37"/>
      <c r="AB68" s="38"/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28"/>
        <v>119.4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339</v>
      </c>
      <c r="C69" s="35">
        <v>1.33671619315903</v>
      </c>
      <c r="D69" s="36">
        <f t="shared" si="29"/>
        <v>-0.678943272644284</v>
      </c>
      <c r="E69" s="35">
        <v>1.67508514994953</v>
      </c>
      <c r="F69" s="36">
        <f t="shared" si="30"/>
        <v>-0.530448672634863</v>
      </c>
      <c r="G69" s="35">
        <v>1.86432398292021</v>
      </c>
      <c r="H69" s="36">
        <f t="shared" si="31"/>
        <v>-0.50501917351569</v>
      </c>
      <c r="I69" s="35">
        <f>网约车!AB53-网约车!AB55</f>
        <v>2.2873606178377</v>
      </c>
      <c r="J69" s="36">
        <f t="shared" si="32"/>
        <v>-0.41442491925218</v>
      </c>
      <c r="K69" s="35">
        <f>网约车!AD53-网约车!AD55</f>
        <v>2.2976825085597</v>
      </c>
      <c r="L69" s="36">
        <f t="shared" si="33"/>
        <v>-0.356490758670418</v>
      </c>
      <c r="M69" s="35">
        <f>网约车!AF53-网约车!AF55</f>
        <v>2.2371657667306</v>
      </c>
      <c r="N69" s="36">
        <f t="shared" si="34"/>
        <v>-0.328346823023004</v>
      </c>
      <c r="O69" s="35">
        <f>网约车!AH53-网约车!AH55</f>
        <v>3.0721705958004</v>
      </c>
      <c r="P69" s="36">
        <f t="shared" si="35"/>
        <v>-0.204379364359135</v>
      </c>
      <c r="Q69" s="35">
        <f>网约车!AJ53-网约车!AJ55</f>
        <v>3.6204769088969</v>
      </c>
      <c r="R69" s="36">
        <f t="shared" si="36"/>
        <v>0.0746319750609696</v>
      </c>
      <c r="S69" s="35">
        <f>网约车!AL53-网约车!AL55</f>
        <v>3.5065253677669</v>
      </c>
      <c r="T69" s="36">
        <f t="shared" si="37"/>
        <v>0.0837793909975448</v>
      </c>
      <c r="U69" s="35">
        <f>网约车!AN53-网约车!AN55</f>
        <v>3.96765881680091</v>
      </c>
      <c r="V69" s="36">
        <f t="shared" si="38"/>
        <v>0.0947496140338628</v>
      </c>
      <c r="W69" s="35">
        <f>网约车!AP53-网约车!AP55</f>
        <v>4.9887649728121</v>
      </c>
      <c r="X69" s="36">
        <f t="shared" si="39"/>
        <v>0.356062474205547</v>
      </c>
      <c r="Y69" s="35">
        <f t="shared" ref="Y69:Y94" si="40">E69+C69+G69+I69+K69+M69+O69+Q69+S69+U69</f>
        <v>25.8651659084219</v>
      </c>
      <c r="Z69" s="36">
        <f t="shared" ref="Z69:Z94" si="41">Y69/SUM(AC69,AE69,AG69,AI69,AK69,AM69,AO69,AQ69,AS69,AU69)-1</f>
        <v>-0.289321647163709</v>
      </c>
      <c r="AA69" s="37"/>
      <c r="AB69" s="38"/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42">AC69+AE69+AG69+AI69+AK69+AM69+AO69+AQ69+AS69+AU69+AW69+AY69</f>
        <v>44.0622949761668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337</v>
      </c>
      <c r="C70" s="35">
        <f>C71+C72+C73+C74</f>
        <v>289.770657413639</v>
      </c>
      <c r="D70" s="36">
        <f t="shared" si="29"/>
        <v>0.0237046076386789</v>
      </c>
      <c r="E70" s="35">
        <f>E71+E72+E73+E74</f>
        <v>285.549388027271</v>
      </c>
      <c r="F70" s="36">
        <f t="shared" si="30"/>
        <v>0.0618414942227632</v>
      </c>
      <c r="G70" s="35">
        <f>G71+G72+G73+G74</f>
        <v>290.206780381738</v>
      </c>
      <c r="H70" s="36">
        <f t="shared" si="31"/>
        <v>-0.013375034997044</v>
      </c>
      <c r="I70" s="35">
        <f>I71+I72+I73+I74</f>
        <v>333.777123519336</v>
      </c>
      <c r="J70" s="36">
        <f t="shared" si="32"/>
        <v>0.0471728734804302</v>
      </c>
      <c r="K70" s="35">
        <f>K71+K72+K73+K74</f>
        <v>352.726484232076</v>
      </c>
      <c r="L70" s="36">
        <f t="shared" si="33"/>
        <v>0.00303683500981999</v>
      </c>
      <c r="M70" s="35">
        <f>M71+M72+M73+M74</f>
        <v>316.464222324085</v>
      </c>
      <c r="N70" s="36">
        <f t="shared" si="34"/>
        <v>-0.0668404562875028</v>
      </c>
      <c r="O70" s="35">
        <f>O71+O72+O73+O74</f>
        <v>376.601843759464</v>
      </c>
      <c r="P70" s="36">
        <f t="shared" si="35"/>
        <v>-0.0149587721059007</v>
      </c>
      <c r="Q70" s="35">
        <f>Q71+Q72+Q73+Q74</f>
        <v>387.82519402581</v>
      </c>
      <c r="R70" s="36">
        <f t="shared" si="36"/>
        <v>-0.00950560298508984</v>
      </c>
      <c r="S70" s="35">
        <f>S71+S72+S73+S74</f>
        <v>330.795840382741</v>
      </c>
      <c r="T70" s="36">
        <f t="shared" si="37"/>
        <v>-0.0254562611208506</v>
      </c>
      <c r="U70" s="35">
        <f>U71+U72+U73+U74</f>
        <v>339.52265502227</v>
      </c>
      <c r="V70" s="36">
        <f t="shared" si="38"/>
        <v>-0.0575915351998022</v>
      </c>
      <c r="W70" s="35">
        <f>W71+W72+W73+W74</f>
        <v>336.592828746624</v>
      </c>
      <c r="X70" s="36">
        <f t="shared" si="39"/>
        <v>0.00492355361965791</v>
      </c>
      <c r="Y70" s="35">
        <f t="shared" si="40"/>
        <v>3303.24018908843</v>
      </c>
      <c r="Z70" s="36">
        <f t="shared" si="41"/>
        <v>-0.00780604795031525</v>
      </c>
      <c r="AA70" s="37"/>
      <c r="AB70" s="38"/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42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338</v>
      </c>
      <c r="C71" s="35">
        <v>158.1695</v>
      </c>
      <c r="D71" s="36">
        <f t="shared" si="29"/>
        <v>-0.00475569339809323</v>
      </c>
      <c r="E71" s="35">
        <v>164.3152</v>
      </c>
      <c r="F71" s="36">
        <f t="shared" si="30"/>
        <v>-0.0257601243686257</v>
      </c>
      <c r="G71" s="35">
        <v>171.3825</v>
      </c>
      <c r="H71" s="36">
        <f t="shared" si="31"/>
        <v>0.00788571737739474</v>
      </c>
      <c r="I71" s="35">
        <f>中口径明细!AB71</f>
        <v>198.9183</v>
      </c>
      <c r="J71" s="36">
        <f t="shared" si="32"/>
        <v>-0.00473072162142429</v>
      </c>
      <c r="K71" s="35">
        <f>中口径明细!AD71</f>
        <v>211.9699</v>
      </c>
      <c r="L71" s="36">
        <f t="shared" si="33"/>
        <v>-0.0410389556336104</v>
      </c>
      <c r="M71" s="35">
        <f>中口径明细!AF71</f>
        <v>187.4679</v>
      </c>
      <c r="N71" s="36">
        <f t="shared" si="34"/>
        <v>-0.0988870430935531</v>
      </c>
      <c r="O71" s="35">
        <f>中口径明细!AH71</f>
        <v>223.1793</v>
      </c>
      <c r="P71" s="36">
        <f t="shared" si="35"/>
        <v>-0.0486207558028007</v>
      </c>
      <c r="Q71" s="35">
        <f>中口径明细!AJ71</f>
        <v>231.6134</v>
      </c>
      <c r="R71" s="36">
        <f t="shared" si="36"/>
        <v>-0.0647041126812889</v>
      </c>
      <c r="S71" s="35">
        <f>中口径明细!AL71</f>
        <v>182.6086</v>
      </c>
      <c r="T71" s="36">
        <f t="shared" si="37"/>
        <v>-0.0708397869443365</v>
      </c>
      <c r="U71" s="35">
        <f>中口径明细!AN71</f>
        <v>185.0951</v>
      </c>
      <c r="V71" s="36">
        <f t="shared" si="38"/>
        <v>-0.107557801747227</v>
      </c>
      <c r="W71" s="35">
        <f>中口径明细!AP71</f>
        <v>165.4614</v>
      </c>
      <c r="X71" s="36">
        <f t="shared" si="39"/>
        <v>-0.0574926874560321</v>
      </c>
      <c r="Y71" s="35">
        <f t="shared" si="40"/>
        <v>1914.7197</v>
      </c>
      <c r="Z71" s="36">
        <f t="shared" si="41"/>
        <v>-0.0486939761440124</v>
      </c>
      <c r="AA71" s="37"/>
      <c r="AB71" s="38"/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42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295</v>
      </c>
      <c r="C72" s="35">
        <v>79.2</v>
      </c>
      <c r="D72" s="36">
        <f t="shared" si="29"/>
        <v>-0.112008072653886</v>
      </c>
      <c r="E72" s="35">
        <v>65.04</v>
      </c>
      <c r="F72" s="36">
        <f t="shared" si="30"/>
        <v>-0.110259917920656</v>
      </c>
      <c r="G72" s="35">
        <f>公交!Z57-公交!Z59</f>
        <v>74.2</v>
      </c>
      <c r="H72" s="36">
        <f t="shared" si="31"/>
        <v>-0.125824693685202</v>
      </c>
      <c r="I72" s="35">
        <f>公交!AB57-公交!AB59</f>
        <v>77.74</v>
      </c>
      <c r="J72" s="36">
        <f t="shared" si="32"/>
        <v>-0.061677730838866</v>
      </c>
      <c r="K72" s="35">
        <f>公交!AD57-公交!AD59</f>
        <v>77.02</v>
      </c>
      <c r="L72" s="36">
        <f t="shared" si="33"/>
        <v>-0.0619900133966632</v>
      </c>
      <c r="M72" s="35">
        <f>公交!AF57-公交!AF59</f>
        <v>67.31</v>
      </c>
      <c r="N72" s="36">
        <f t="shared" si="34"/>
        <v>-0.190109493442426</v>
      </c>
      <c r="O72" s="35">
        <f>公交!AH57-公交!AH59</f>
        <v>84.1100000000001</v>
      </c>
      <c r="P72" s="36">
        <f t="shared" si="35"/>
        <v>-0.148166902977517</v>
      </c>
      <c r="Q72" s="35">
        <f>公交!AJ57-公交!AJ59</f>
        <v>84.34</v>
      </c>
      <c r="R72" s="36">
        <f t="shared" si="36"/>
        <v>-0.0838583532478805</v>
      </c>
      <c r="S72" s="35">
        <f>公交!AL57-公交!AL59</f>
        <v>67.57</v>
      </c>
      <c r="T72" s="36">
        <f t="shared" si="37"/>
        <v>-0.15389431505134</v>
      </c>
      <c r="U72" s="35">
        <f>公交!AN57-公交!AN59</f>
        <v>62.04</v>
      </c>
      <c r="V72" s="36">
        <f t="shared" si="38"/>
        <v>-0.176642335766424</v>
      </c>
      <c r="W72" s="35">
        <f>公交!AP57-公交!AP59</f>
        <v>63.83</v>
      </c>
      <c r="X72" s="36">
        <f t="shared" si="39"/>
        <v>-0.190898719736341</v>
      </c>
      <c r="Y72" s="35">
        <f t="shared" si="40"/>
        <v>738.57</v>
      </c>
      <c r="Z72" s="36">
        <f t="shared" si="41"/>
        <v>-0.12205646359584</v>
      </c>
      <c r="AA72" s="37"/>
      <c r="AB72" s="38"/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42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296</v>
      </c>
      <c r="C73" s="35">
        <v>46.34</v>
      </c>
      <c r="D73" s="36">
        <f t="shared" si="29"/>
        <v>0.578337874659401</v>
      </c>
      <c r="E73" s="35">
        <v>48.28</v>
      </c>
      <c r="F73" s="36">
        <f t="shared" si="30"/>
        <v>1.12406511218654</v>
      </c>
      <c r="G73" s="35">
        <f>出租!Z57-出租!Z59</f>
        <v>35.14</v>
      </c>
      <c r="H73" s="36">
        <f t="shared" si="31"/>
        <v>0.0651712640194011</v>
      </c>
      <c r="I73" s="35">
        <f>出租!AB57-出租!AB59</f>
        <v>44.71</v>
      </c>
      <c r="J73" s="36">
        <f t="shared" si="32"/>
        <v>0.510983440351471</v>
      </c>
      <c r="K73" s="35">
        <f>出租!AD57-出租!AD59</f>
        <v>48.23</v>
      </c>
      <c r="L73" s="36">
        <f t="shared" si="33"/>
        <v>0.229416263063982</v>
      </c>
      <c r="M73" s="35">
        <f>出租!AF57-出租!AF59</f>
        <v>44.71</v>
      </c>
      <c r="N73" s="36">
        <f t="shared" si="34"/>
        <v>0.173490813648293</v>
      </c>
      <c r="O73" s="35">
        <f>出租!AH57-出租!AH59</f>
        <v>48.61</v>
      </c>
      <c r="P73" s="36">
        <f t="shared" si="35"/>
        <v>0.246410256410253</v>
      </c>
      <c r="Q73" s="35">
        <f>出租!AJ57-出租!AJ59</f>
        <v>48.8799999999999</v>
      </c>
      <c r="R73" s="36">
        <f t="shared" si="36"/>
        <v>0.132530120481926</v>
      </c>
      <c r="S73" s="35">
        <f>出租!AL57-出租!AL59</f>
        <v>58.3799999999999</v>
      </c>
      <c r="T73" s="36">
        <f t="shared" si="37"/>
        <v>0.134693877551019</v>
      </c>
      <c r="U73" s="35">
        <f>出租!AN57-出租!AN59</f>
        <v>59.3899999999999</v>
      </c>
      <c r="V73" s="36">
        <f t="shared" si="38"/>
        <v>-0.0653131885426514</v>
      </c>
      <c r="W73" s="35">
        <f>出租!AP57-出租!AP59</f>
        <v>70.1000000000001</v>
      </c>
      <c r="X73" s="36">
        <f t="shared" si="39"/>
        <v>0.0677837014470688</v>
      </c>
      <c r="Y73" s="35">
        <f t="shared" si="40"/>
        <v>482.67</v>
      </c>
      <c r="Z73" s="36">
        <f t="shared" si="41"/>
        <v>0.24031864319671</v>
      </c>
      <c r="AA73" s="37"/>
      <c r="AB73" s="38"/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42"/>
        <v>504.07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339</v>
      </c>
      <c r="C74" s="35">
        <v>6.06115741363863</v>
      </c>
      <c r="D74" s="36">
        <f t="shared" si="29"/>
        <v>0.0851570081150117</v>
      </c>
      <c r="E74" s="35">
        <v>7.9141880272708</v>
      </c>
      <c r="F74" s="36">
        <f t="shared" si="30"/>
        <v>0.786848055365345</v>
      </c>
      <c r="G74" s="35">
        <v>9.48428038173773</v>
      </c>
      <c r="H74" s="36">
        <f t="shared" si="31"/>
        <v>0.522521226069581</v>
      </c>
      <c r="I74" s="35">
        <f>网约车!AB57-网约车!AB59</f>
        <v>12.4088235193357</v>
      </c>
      <c r="J74" s="36">
        <f t="shared" si="32"/>
        <v>0.927618406257512</v>
      </c>
      <c r="K74" s="35">
        <f>网约车!AD57-网约车!AD59</f>
        <v>15.5065842320757</v>
      </c>
      <c r="L74" s="36">
        <f t="shared" si="33"/>
        <v>0.671444486518326</v>
      </c>
      <c r="M74" s="35">
        <f>网约车!AF57-网约车!AF59</f>
        <v>16.976322324085</v>
      </c>
      <c r="N74" s="36">
        <f t="shared" si="34"/>
        <v>0.717980495603627</v>
      </c>
      <c r="O74" s="35">
        <f>网约车!AH57-网约车!AH59</f>
        <v>20.702543759464</v>
      </c>
      <c r="P74" s="36">
        <f t="shared" si="35"/>
        <v>1.07110458559508</v>
      </c>
      <c r="Q74" s="35">
        <f>网约车!AJ57-网约车!AJ59</f>
        <v>22.99179402581</v>
      </c>
      <c r="R74" s="36">
        <f t="shared" si="36"/>
        <v>1.64559791809052</v>
      </c>
      <c r="S74" s="35">
        <f>网约车!AL57-网约车!AL59</f>
        <v>22.237240382741</v>
      </c>
      <c r="T74" s="36">
        <f t="shared" si="37"/>
        <v>0.917693220245516</v>
      </c>
      <c r="U74" s="35">
        <f>网约车!AN57-网约车!AN59</f>
        <v>32.99755502227</v>
      </c>
      <c r="V74" s="36">
        <f t="shared" si="38"/>
        <v>1.36062243594944</v>
      </c>
      <c r="W74" s="35">
        <f>网约车!AP57-网约车!AP59</f>
        <v>37.201428746624</v>
      </c>
      <c r="X74" s="36">
        <f t="shared" si="39"/>
        <v>1.50527908268758</v>
      </c>
      <c r="Y74" s="35">
        <f t="shared" si="40"/>
        <v>167.280489088429</v>
      </c>
      <c r="Z74" s="36">
        <f t="shared" si="41"/>
        <v>0.94284240489198</v>
      </c>
      <c r="AA74" s="37"/>
      <c r="AB74" s="38"/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42"/>
        <v>113.383922587599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337</v>
      </c>
      <c r="C75" s="35">
        <f>C76+C77+C78+C79</f>
        <v>40.6859553805484</v>
      </c>
      <c r="D75" s="36">
        <f t="shared" si="29"/>
        <v>-0.300174686169864</v>
      </c>
      <c r="E75" s="35">
        <f>E76+E77+E78+E79</f>
        <v>43.86803974145</v>
      </c>
      <c r="F75" s="36">
        <f t="shared" si="30"/>
        <v>-0.202145429360388</v>
      </c>
      <c r="G75" s="35">
        <f>G76+G77+G78+G79</f>
        <v>46.0175901639184</v>
      </c>
      <c r="H75" s="36">
        <f t="shared" si="31"/>
        <v>-0.18265000479357</v>
      </c>
      <c r="I75" s="35">
        <f>I76+I77+I78+I79</f>
        <v>43.8993566482614</v>
      </c>
      <c r="J75" s="36">
        <f t="shared" si="32"/>
        <v>-0.2217458554104</v>
      </c>
      <c r="K75" s="35">
        <f>K76+K77+K78+K79</f>
        <v>41.9625979967528</v>
      </c>
      <c r="L75" s="36">
        <f t="shared" si="33"/>
        <v>-0.244539310999654</v>
      </c>
      <c r="M75" s="35">
        <f>M76+M77+M78+M79</f>
        <v>41.5676392766403</v>
      </c>
      <c r="N75" s="36">
        <f t="shared" si="34"/>
        <v>-0.359834804176141</v>
      </c>
      <c r="O75" s="35">
        <f>O76+O77+O78+O79</f>
        <v>44.8085792325311</v>
      </c>
      <c r="P75" s="36">
        <f t="shared" si="35"/>
        <v>0.0277603686150476</v>
      </c>
      <c r="Q75" s="35">
        <f>Q76+Q77+Q78+Q79</f>
        <v>44.2769585337065</v>
      </c>
      <c r="R75" s="36">
        <f t="shared" si="36"/>
        <v>-0.213739115388851</v>
      </c>
      <c r="S75" s="35">
        <f>S76+S77+S78+S79</f>
        <v>44.7472685118526</v>
      </c>
      <c r="T75" s="36">
        <f t="shared" si="37"/>
        <v>-0.00603791646710972</v>
      </c>
      <c r="U75" s="35">
        <f>U76+U77+U78+U79</f>
        <v>44.6387565443553</v>
      </c>
      <c r="V75" s="36">
        <f t="shared" si="38"/>
        <v>-0.197705911713154</v>
      </c>
      <c r="W75" s="35">
        <f>W76+W77+W78+W79</f>
        <v>45.037160412503</v>
      </c>
      <c r="X75" s="36">
        <f t="shared" si="39"/>
        <v>-0.0254105086790167</v>
      </c>
      <c r="Y75" s="35">
        <f t="shared" si="40"/>
        <v>436.472742030017</v>
      </c>
      <c r="Z75" s="36">
        <f t="shared" si="41"/>
        <v>-0.201880174269159</v>
      </c>
      <c r="AA75" s="37"/>
      <c r="AB75" s="38"/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42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338</v>
      </c>
      <c r="C76" s="35">
        <v>7.2841</v>
      </c>
      <c r="D76" s="36">
        <f t="shared" si="29"/>
        <v>-0.196609571288341</v>
      </c>
      <c r="E76" s="35">
        <v>7.2143</v>
      </c>
      <c r="F76" s="36">
        <f t="shared" si="30"/>
        <v>-0.132792402933045</v>
      </c>
      <c r="G76" s="35">
        <v>6.9417</v>
      </c>
      <c r="H76" s="36">
        <f t="shared" si="31"/>
        <v>-0.12824473495837</v>
      </c>
      <c r="I76" s="35">
        <f>中口径明细!AB76</f>
        <v>6.7997</v>
      </c>
      <c r="J76" s="36">
        <f t="shared" si="32"/>
        <v>-0.142599551105843</v>
      </c>
      <c r="K76" s="35">
        <f>中口径明细!AD76</f>
        <v>6.94</v>
      </c>
      <c r="L76" s="36">
        <f t="shared" si="33"/>
        <v>-0.131805444355484</v>
      </c>
      <c r="M76" s="35">
        <f>中口径明细!AF76</f>
        <v>9.9261</v>
      </c>
      <c r="N76" s="36">
        <f t="shared" si="34"/>
        <v>0.219167987029736</v>
      </c>
      <c r="O76" s="35">
        <f>中口径明细!AH76</f>
        <v>10.0811</v>
      </c>
      <c r="P76" s="36">
        <f t="shared" si="35"/>
        <v>0.279847146049157</v>
      </c>
      <c r="Q76" s="35">
        <f>中口径明细!AJ76</f>
        <v>10.0225</v>
      </c>
      <c r="R76" s="36">
        <f t="shared" si="36"/>
        <v>0.295850949665775</v>
      </c>
      <c r="S76" s="35">
        <f>中口径明细!AL76</f>
        <v>10.8021</v>
      </c>
      <c r="T76" s="36">
        <f t="shared" si="37"/>
        <v>0.40115962331699</v>
      </c>
      <c r="U76" s="35">
        <f>中口径明细!AN76</f>
        <v>9.6101</v>
      </c>
      <c r="V76" s="36">
        <f t="shared" si="38"/>
        <v>0.197385962944965</v>
      </c>
      <c r="W76" s="35">
        <f>中口径明细!AP76</f>
        <v>9.3551</v>
      </c>
      <c r="X76" s="36">
        <f t="shared" si="39"/>
        <v>0.151226895720017</v>
      </c>
      <c r="Y76" s="35">
        <f t="shared" si="40"/>
        <v>85.6217</v>
      </c>
      <c r="Z76" s="36">
        <f t="shared" si="41"/>
        <v>0.0601875412483017</v>
      </c>
      <c r="AA76" s="37"/>
      <c r="AB76" s="38"/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42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295</v>
      </c>
      <c r="C77" s="35">
        <v>26.4</v>
      </c>
      <c r="D77" s="36">
        <f t="shared" si="29"/>
        <v>-0.105084745762712</v>
      </c>
      <c r="E77" s="35">
        <v>26.9</v>
      </c>
      <c r="F77" s="36">
        <f t="shared" si="30"/>
        <v>-0.179878048780488</v>
      </c>
      <c r="G77" s="35">
        <f>公交!Z61-公交!Z63</f>
        <v>28.5</v>
      </c>
      <c r="H77" s="36">
        <f t="shared" si="31"/>
        <v>-0.173913043478261</v>
      </c>
      <c r="I77" s="35">
        <f>公交!AB61-公交!AB63</f>
        <v>29.4</v>
      </c>
      <c r="J77" s="36">
        <f t="shared" si="32"/>
        <v>-0.15028901734104</v>
      </c>
      <c r="K77" s="35">
        <f>公交!AD61-公交!AD63</f>
        <v>26.8</v>
      </c>
      <c r="L77" s="36">
        <f t="shared" si="33"/>
        <v>-0.197604790419162</v>
      </c>
      <c r="M77" s="35">
        <f>公交!AF61-公交!AF63</f>
        <v>23.3</v>
      </c>
      <c r="N77" s="36">
        <f t="shared" si="34"/>
        <v>-0.332378223495702</v>
      </c>
      <c r="O77" s="35">
        <f>公交!AH61-公交!AH63</f>
        <v>25.44</v>
      </c>
      <c r="P77" s="36">
        <f t="shared" si="35"/>
        <v>0.205687203791469</v>
      </c>
      <c r="Q77" s="35">
        <f>公交!AJ61-公交!AJ63</f>
        <v>24.86</v>
      </c>
      <c r="R77" s="36">
        <f t="shared" si="36"/>
        <v>-0.136805555555556</v>
      </c>
      <c r="S77" s="35">
        <f>公交!AL61-公交!AL63</f>
        <v>24.4</v>
      </c>
      <c r="T77" s="36">
        <f t="shared" si="37"/>
        <v>0.00826446280991711</v>
      </c>
      <c r="U77" s="35">
        <f>公交!AN61-公交!AN63</f>
        <v>24.95</v>
      </c>
      <c r="V77" s="36">
        <f t="shared" si="38"/>
        <v>-0.222741433021807</v>
      </c>
      <c r="W77" s="35">
        <f>公交!AP61-公交!AP63</f>
        <v>23.5</v>
      </c>
      <c r="X77" s="36">
        <f t="shared" si="39"/>
        <v>-0.085603112840467</v>
      </c>
      <c r="Y77" s="35">
        <f t="shared" si="40"/>
        <v>260.95</v>
      </c>
      <c r="Z77" s="36">
        <f t="shared" si="41"/>
        <v>-0.146943445570448</v>
      </c>
      <c r="AA77" s="37"/>
      <c r="AB77" s="38"/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42"/>
        <v>356.4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296</v>
      </c>
      <c r="C78" s="35">
        <v>6</v>
      </c>
      <c r="D78" s="36">
        <f t="shared" ref="D78:D94" si="43">C78/AC78-1</f>
        <v>-0.428571428571429</v>
      </c>
      <c r="E78" s="35">
        <v>8</v>
      </c>
      <c r="F78" s="36">
        <f t="shared" si="30"/>
        <v>-0.0697674418604641</v>
      </c>
      <c r="G78" s="35">
        <f>出租!Z61-出租!Z63</f>
        <v>8</v>
      </c>
      <c r="H78" s="36">
        <f t="shared" si="31"/>
        <v>0.118881118881117</v>
      </c>
      <c r="I78" s="35">
        <f>出租!AB61-出租!AB63</f>
        <v>6</v>
      </c>
      <c r="J78" s="36">
        <f t="shared" si="32"/>
        <v>-0.100449775112444</v>
      </c>
      <c r="K78" s="35">
        <f>出租!AD61-出租!AD63</f>
        <v>6</v>
      </c>
      <c r="L78" s="36">
        <f t="shared" si="33"/>
        <v>-0.0639625585023401</v>
      </c>
      <c r="M78" s="35">
        <f>出租!AF61-出租!AF63</f>
        <v>6</v>
      </c>
      <c r="N78" s="36">
        <f t="shared" si="34"/>
        <v>-0.0990990990990991</v>
      </c>
      <c r="O78" s="35">
        <f>出租!AH61-出租!AH63</f>
        <v>6.2</v>
      </c>
      <c r="P78" s="36">
        <f t="shared" si="35"/>
        <v>-0.0662650602409649</v>
      </c>
      <c r="Q78" s="35">
        <f>出租!AJ61-出租!AJ63</f>
        <v>6.4</v>
      </c>
      <c r="R78" s="36">
        <f t="shared" si="36"/>
        <v>-0.0711175616835996</v>
      </c>
      <c r="S78" s="35">
        <f>出租!AL61-出租!AL63</f>
        <v>6.59999999999999</v>
      </c>
      <c r="T78" s="36">
        <f t="shared" si="37"/>
        <v>0.0264385692068403</v>
      </c>
      <c r="U78" s="35">
        <f>出租!AN61-出租!AN63</f>
        <v>6.5</v>
      </c>
      <c r="V78" s="36">
        <f t="shared" si="38"/>
        <v>-0.161290322580645</v>
      </c>
      <c r="W78" s="35">
        <f>出租!AP61-出租!AP63</f>
        <v>6.40000000000001</v>
      </c>
      <c r="X78" s="36">
        <f t="shared" si="39"/>
        <v>0.0666666666666675</v>
      </c>
      <c r="Y78" s="35">
        <f t="shared" si="40"/>
        <v>65.7</v>
      </c>
      <c r="Z78" s="36">
        <f t="shared" si="41"/>
        <v>-0.108548168249661</v>
      </c>
      <c r="AA78" s="37"/>
      <c r="AB78" s="38"/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42"/>
        <v>85.7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339</v>
      </c>
      <c r="C79" s="35">
        <v>1.00185538054845</v>
      </c>
      <c r="D79" s="36">
        <f t="shared" si="43"/>
        <v>-0.889549181197912</v>
      </c>
      <c r="E79" s="35">
        <v>1.75373974144996</v>
      </c>
      <c r="F79" s="36">
        <f t="shared" ref="F79:F94" si="44">E79/AE79-1</f>
        <v>-0.666811170767742</v>
      </c>
      <c r="G79" s="35">
        <v>2.57589016391839</v>
      </c>
      <c r="H79" s="36">
        <f t="shared" ref="H79:H94" si="45">G79/AG79-1</f>
        <v>-0.614852468816525</v>
      </c>
      <c r="I79" s="35">
        <f>网约车!AB61-网约车!AB63</f>
        <v>1.69965664826138</v>
      </c>
      <c r="J79" s="36">
        <f t="shared" ref="J79:J94" si="46">I79/AI79-1</f>
        <v>-0.764161998281034</v>
      </c>
      <c r="K79" s="35">
        <f>网约车!AD61-网约车!AD63</f>
        <v>2.2225979967528</v>
      </c>
      <c r="L79" s="36">
        <f t="shared" ref="L79:L94" si="47">K79/AK79-1</f>
        <v>-0.712920781273739</v>
      </c>
      <c r="M79" s="35">
        <f>网约车!AF61-网约车!AF63</f>
        <v>2.3415392766403</v>
      </c>
      <c r="N79" s="36">
        <f t="shared" ref="N79:N94" si="48">M79/AM79-1</f>
        <v>-0.846264660288355</v>
      </c>
      <c r="O79" s="35">
        <f>网约车!AH61-网约车!AH63</f>
        <v>3.0874792325311</v>
      </c>
      <c r="P79" s="36">
        <f t="shared" ref="P79:P94" si="49">O79/AO79-1</f>
        <v>-0.613169343431659</v>
      </c>
      <c r="Q79" s="35">
        <f>网约车!AJ61-网约车!AJ63</f>
        <v>2.9944585337065</v>
      </c>
      <c r="R79" s="36">
        <f t="shared" ref="R79:R94" si="50">Q79/AQ79-1</f>
        <v>-0.767673632057343</v>
      </c>
      <c r="S79" s="35">
        <f>网约车!AL61-网约车!AL63</f>
        <v>2.9451685118526</v>
      </c>
      <c r="T79" s="36">
        <f t="shared" ref="T79:T94" si="51">S79/AS79-1</f>
        <v>-0.55908604973501</v>
      </c>
      <c r="U79" s="35">
        <f>网约车!AN61-网约车!AN63</f>
        <v>3.5786565443553</v>
      </c>
      <c r="V79" s="36">
        <f t="shared" ref="V79:V94" si="52">U79/AU79-1</f>
        <v>-0.539010840492798</v>
      </c>
      <c r="W79" s="35">
        <f>网约车!AP61-网约车!AP63</f>
        <v>5.782060412503</v>
      </c>
      <c r="X79" s="36">
        <f t="shared" ref="X79:X94" si="53">W79/AW79-1</f>
        <v>-0.0944612660478431</v>
      </c>
      <c r="Y79" s="35">
        <f t="shared" si="40"/>
        <v>24.2010420300168</v>
      </c>
      <c r="Z79" s="36">
        <f t="shared" si="41"/>
        <v>-0.720268664370438</v>
      </c>
      <c r="AA79" s="37"/>
      <c r="AB79" s="38"/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42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337</v>
      </c>
      <c r="C80" s="35">
        <f>C81+C82+C83+C84</f>
        <v>141.409836253653</v>
      </c>
      <c r="D80" s="36">
        <f t="shared" si="43"/>
        <v>-0.0285289354255968</v>
      </c>
      <c r="E80" s="35">
        <f>E81+E82+E83+E84</f>
        <v>135.613316957996</v>
      </c>
      <c r="F80" s="36">
        <f t="shared" si="44"/>
        <v>0.114924992391149</v>
      </c>
      <c r="G80" s="35">
        <f>G81+G82+G83+G84</f>
        <v>123.191451752255</v>
      </c>
      <c r="H80" s="36">
        <f t="shared" si="45"/>
        <v>0.0557428113360596</v>
      </c>
      <c r="I80" s="35">
        <f>I81+I82+I83+I84</f>
        <v>152.580066832837</v>
      </c>
      <c r="J80" s="36">
        <f t="shared" si="46"/>
        <v>0.0469415689388142</v>
      </c>
      <c r="K80" s="35">
        <f>K81+K82+K83+K84</f>
        <v>158.622156399979</v>
      </c>
      <c r="L80" s="36">
        <f t="shared" si="47"/>
        <v>0.0415311546238375</v>
      </c>
      <c r="M80" s="35">
        <f>M81+M82+M83+M84</f>
        <v>167.625264107905</v>
      </c>
      <c r="N80" s="36">
        <f t="shared" si="48"/>
        <v>0.018369291019394</v>
      </c>
      <c r="O80" s="35">
        <f>O81+O82+O83+O84</f>
        <v>174.830179785341</v>
      </c>
      <c r="P80" s="36">
        <f t="shared" si="49"/>
        <v>0.0980050678333975</v>
      </c>
      <c r="Q80" s="35">
        <f>Q81+Q82+Q83+Q84</f>
        <v>160.005714272764</v>
      </c>
      <c r="R80" s="36">
        <f t="shared" si="50"/>
        <v>0.00533325489938785</v>
      </c>
      <c r="S80" s="35">
        <f>S81+S82+S83+S84</f>
        <v>153.365934442546</v>
      </c>
      <c r="T80" s="36">
        <f t="shared" si="51"/>
        <v>0.0393535785847021</v>
      </c>
      <c r="U80" s="35">
        <f>U81+U82+U83+U84</f>
        <v>172.182163827388</v>
      </c>
      <c r="V80" s="36">
        <f t="shared" si="52"/>
        <v>0.066755526168162</v>
      </c>
      <c r="W80" s="35">
        <f>W81+W82+W83+W84</f>
        <v>152.570592399419</v>
      </c>
      <c r="X80" s="36">
        <f t="shared" si="53"/>
        <v>0.0496916650007362</v>
      </c>
      <c r="Y80" s="35">
        <f t="shared" si="40"/>
        <v>1539.42608463266</v>
      </c>
      <c r="Z80" s="36">
        <f t="shared" si="41"/>
        <v>0.0444787979949348</v>
      </c>
      <c r="AA80" s="37"/>
      <c r="AB80" s="38"/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42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338</v>
      </c>
      <c r="C81" s="35">
        <v>3.1291</v>
      </c>
      <c r="D81" s="36">
        <f t="shared" si="43"/>
        <v>-0.218428414427016</v>
      </c>
      <c r="E81" s="35">
        <v>2.699</v>
      </c>
      <c r="F81" s="36">
        <f t="shared" si="44"/>
        <v>0.182941795231417</v>
      </c>
      <c r="G81" s="35">
        <v>2.603</v>
      </c>
      <c r="H81" s="36">
        <f t="shared" si="45"/>
        <v>0.0149730952195275</v>
      </c>
      <c r="I81" s="35">
        <f>中口径明细!AB81</f>
        <v>2.2886</v>
      </c>
      <c r="J81" s="36">
        <f t="shared" si="46"/>
        <v>-0.238580031273913</v>
      </c>
      <c r="K81" s="35">
        <f>中口径明细!AD81</f>
        <v>2.5255</v>
      </c>
      <c r="L81" s="36">
        <f t="shared" si="47"/>
        <v>-0.263552328463535</v>
      </c>
      <c r="M81" s="35">
        <f>中口径明细!AF81</f>
        <v>2.5557</v>
      </c>
      <c r="N81" s="36">
        <f t="shared" si="48"/>
        <v>-0.248080261260996</v>
      </c>
      <c r="O81" s="35">
        <f>中口径明细!AH81</f>
        <v>2.421</v>
      </c>
      <c r="P81" s="36">
        <f t="shared" si="49"/>
        <v>-0.114775677355662</v>
      </c>
      <c r="Q81" s="35">
        <f>中口径明细!AJ81</f>
        <v>2.683</v>
      </c>
      <c r="R81" s="36">
        <f t="shared" si="50"/>
        <v>0.0201520912547528</v>
      </c>
      <c r="S81" s="35">
        <f>中口径明细!AL81</f>
        <v>2.4105</v>
      </c>
      <c r="T81" s="36">
        <f t="shared" si="51"/>
        <v>-0.0401003504300733</v>
      </c>
      <c r="U81" s="35">
        <f>中口径明细!AN81</f>
        <v>2.71</v>
      </c>
      <c r="V81" s="36">
        <f t="shared" si="52"/>
        <v>-0.066257795541467</v>
      </c>
      <c r="W81" s="35">
        <f>中口径明细!AP81</f>
        <v>2.4835</v>
      </c>
      <c r="X81" s="36">
        <f t="shared" si="53"/>
        <v>-0.222886288253333</v>
      </c>
      <c r="Y81" s="35">
        <f t="shared" si="40"/>
        <v>26.0254</v>
      </c>
      <c r="Z81" s="36">
        <f t="shared" si="41"/>
        <v>-0.116648168324729</v>
      </c>
      <c r="AA81" s="37"/>
      <c r="AB81" s="38"/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42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295</v>
      </c>
      <c r="C82" s="35">
        <v>121.4</v>
      </c>
      <c r="D82" s="36">
        <f t="shared" si="43"/>
        <v>-0.0303514376996805</v>
      </c>
      <c r="E82" s="35">
        <v>115.48</v>
      </c>
      <c r="F82" s="36">
        <f t="shared" si="44"/>
        <v>0.106130268199234</v>
      </c>
      <c r="G82" s="35">
        <f>公交!Z65-公交!Z67</f>
        <v>102.54</v>
      </c>
      <c r="H82" s="36">
        <f t="shared" si="45"/>
        <v>0.0291047771979125</v>
      </c>
      <c r="I82" s="35">
        <f>公交!AB65-公交!AB67</f>
        <v>133.53</v>
      </c>
      <c r="J82" s="36">
        <f t="shared" si="46"/>
        <v>0.069866196618861</v>
      </c>
      <c r="K82" s="35">
        <f>公交!AD65-公交!AD67</f>
        <v>136.39</v>
      </c>
      <c r="L82" s="36">
        <f t="shared" si="47"/>
        <v>0.069054710769713</v>
      </c>
      <c r="M82" s="35">
        <f>公交!AF65-公交!AF67</f>
        <v>150.41</v>
      </c>
      <c r="N82" s="36">
        <f t="shared" si="48"/>
        <v>0.0809198706431908</v>
      </c>
      <c r="O82" s="35">
        <f>公交!AH65-公交!AH67</f>
        <v>154.88</v>
      </c>
      <c r="P82" s="36">
        <f t="shared" si="49"/>
        <v>0.125499600319744</v>
      </c>
      <c r="Q82" s="35">
        <f>公交!AJ65-公交!AJ67</f>
        <v>147.07</v>
      </c>
      <c r="R82" s="36">
        <f t="shared" si="50"/>
        <v>0.0832289902040213</v>
      </c>
      <c r="S82" s="35">
        <f>公交!AL65-公交!AL67</f>
        <v>141.24</v>
      </c>
      <c r="T82" s="36">
        <f t="shared" si="51"/>
        <v>0.0987164527421236</v>
      </c>
      <c r="U82" s="35">
        <f>公交!AN65-公交!AN67</f>
        <v>153.07</v>
      </c>
      <c r="V82" s="36">
        <f t="shared" si="52"/>
        <v>0.108961819894226</v>
      </c>
      <c r="W82" s="35">
        <f>公交!AP65-公交!AP67</f>
        <v>139.22</v>
      </c>
      <c r="X82" s="36">
        <f t="shared" si="53"/>
        <v>0.111714445420426</v>
      </c>
      <c r="Y82" s="35">
        <f t="shared" si="40"/>
        <v>1356.01</v>
      </c>
      <c r="Z82" s="36">
        <f t="shared" si="41"/>
        <v>0.075566730650253</v>
      </c>
      <c r="AA82" s="37"/>
      <c r="AB82" s="38"/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42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296</v>
      </c>
      <c r="C83" s="35">
        <v>15.6</v>
      </c>
      <c r="D83" s="36">
        <f t="shared" si="43"/>
        <v>0.164179104477612</v>
      </c>
      <c r="E83" s="35">
        <v>15.8</v>
      </c>
      <c r="F83" s="36">
        <f t="shared" si="44"/>
        <v>0.215384615384616</v>
      </c>
      <c r="G83" s="35">
        <f>出租!Z65-出租!Z67</f>
        <v>14.75</v>
      </c>
      <c r="H83" s="36">
        <f t="shared" si="45"/>
        <v>0.260683760683761</v>
      </c>
      <c r="I83" s="35">
        <f>出租!AB65-出租!AB67</f>
        <v>14.62</v>
      </c>
      <c r="J83" s="36">
        <f t="shared" si="46"/>
        <v>0.0152777777777782</v>
      </c>
      <c r="K83" s="35">
        <f>出租!AD65-出租!AD67</f>
        <v>17.13</v>
      </c>
      <c r="L83" s="36">
        <f t="shared" si="47"/>
        <v>-0.0155172413793097</v>
      </c>
      <c r="M83" s="35">
        <f>出租!AF65-出租!AF67</f>
        <v>12.1</v>
      </c>
      <c r="N83" s="36">
        <f t="shared" si="48"/>
        <v>-0.0970149253731337</v>
      </c>
      <c r="O83" s="35">
        <f>出租!AH65-出租!AH67</f>
        <v>14.1</v>
      </c>
      <c r="P83" s="36">
        <f t="shared" si="49"/>
        <v>0</v>
      </c>
      <c r="Q83" s="35">
        <f>出租!AJ65-出租!AJ67</f>
        <v>7.73999999999999</v>
      </c>
      <c r="R83" s="36">
        <f t="shared" si="50"/>
        <v>-0.370731707317074</v>
      </c>
      <c r="S83" s="35">
        <f>出租!AL65-出租!AL67</f>
        <v>7.31</v>
      </c>
      <c r="T83" s="36">
        <f t="shared" si="51"/>
        <v>-0.390833333333333</v>
      </c>
      <c r="U83" s="35">
        <f>出租!AN65-出租!AN67</f>
        <v>12.57</v>
      </c>
      <c r="V83" s="36">
        <f t="shared" si="52"/>
        <v>-0.183766233766234</v>
      </c>
      <c r="W83" s="35">
        <f>出租!AP65-出租!AP67</f>
        <v>7.71000000000001</v>
      </c>
      <c r="X83" s="36">
        <f t="shared" si="53"/>
        <v>-0.411450381679389</v>
      </c>
      <c r="Y83" s="35">
        <f t="shared" si="40"/>
        <v>131.72</v>
      </c>
      <c r="Z83" s="36">
        <f t="shared" si="41"/>
        <v>-0.0392414296134206</v>
      </c>
      <c r="AA83" s="37"/>
      <c r="AB83" s="38"/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42"/>
        <v>162.8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339</v>
      </c>
      <c r="C84" s="35">
        <v>1.28073625365262</v>
      </c>
      <c r="D84" s="36">
        <f t="shared" si="43"/>
        <v>-0.567169938038476</v>
      </c>
      <c r="E84" s="35">
        <v>1.63431695799594</v>
      </c>
      <c r="F84" s="36">
        <f t="shared" si="44"/>
        <v>-0.163122921646834</v>
      </c>
      <c r="G84" s="35">
        <v>3.29845175225471</v>
      </c>
      <c r="H84" s="36">
        <f t="shared" si="45"/>
        <v>0.185473912859125</v>
      </c>
      <c r="I84" s="35">
        <f>网约车!AB65-网约车!AB67</f>
        <v>2.14146683283702</v>
      </c>
      <c r="J84" s="36">
        <f t="shared" si="46"/>
        <v>-0.392173757816623</v>
      </c>
      <c r="K84" s="35">
        <f>网约车!AD65-网约车!AD67</f>
        <v>2.5766563999794</v>
      </c>
      <c r="L84" s="36">
        <f t="shared" si="47"/>
        <v>-0.33724269263645</v>
      </c>
      <c r="M84" s="35">
        <f>网约车!AF65-网约车!AF67</f>
        <v>2.5595641079052</v>
      </c>
      <c r="N84" s="36">
        <f t="shared" si="48"/>
        <v>-0.704190627887077</v>
      </c>
      <c r="O84" s="35">
        <f>网约车!AH65-网约车!AH67</f>
        <v>3.429179785341</v>
      </c>
      <c r="P84" s="36">
        <f t="shared" si="49"/>
        <v>-0.282657505796099</v>
      </c>
      <c r="Q84" s="35">
        <f>网约车!AJ65-网约车!AJ67</f>
        <v>2.5127142727643</v>
      </c>
      <c r="R84" s="36">
        <f t="shared" si="50"/>
        <v>-0.702879631875778</v>
      </c>
      <c r="S84" s="35">
        <f>网约车!AL65-网约车!AL67</f>
        <v>2.4054344425461</v>
      </c>
      <c r="T84" s="36">
        <f t="shared" si="51"/>
        <v>-0.465192947987752</v>
      </c>
      <c r="U84" s="35">
        <f>网约车!AN65-网约车!AN67</f>
        <v>3.832163827388</v>
      </c>
      <c r="V84" s="36">
        <f t="shared" si="52"/>
        <v>-0.244898651435552</v>
      </c>
      <c r="W84" s="35">
        <f>网约车!AP65-网约车!AP67</f>
        <v>3.1570923994188</v>
      </c>
      <c r="X84" s="36">
        <f t="shared" si="53"/>
        <v>-0.174013424721104</v>
      </c>
      <c r="Y84" s="35">
        <f t="shared" si="40"/>
        <v>25.6706846326643</v>
      </c>
      <c r="Z84" s="36">
        <f t="shared" si="41"/>
        <v>-0.448748558093823</v>
      </c>
      <c r="AA84" s="37"/>
      <c r="AB84" s="38"/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42"/>
        <v>54.0921973177238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337</v>
      </c>
      <c r="C85" s="35">
        <f>C86+C87+C88+C89</f>
        <v>76.8913879481574</v>
      </c>
      <c r="D85" s="36">
        <f t="shared" si="43"/>
        <v>-0.201251333399478</v>
      </c>
      <c r="E85" s="35">
        <f>E86+E87+E88+E89</f>
        <v>102.812033163755</v>
      </c>
      <c r="F85" s="36">
        <f t="shared" si="44"/>
        <v>0.103640137415502</v>
      </c>
      <c r="G85" s="35">
        <f>G86+G87+G88+G89</f>
        <v>100.332442240691</v>
      </c>
      <c r="H85" s="36">
        <f t="shared" si="45"/>
        <v>0.196660027018386</v>
      </c>
      <c r="I85" s="35">
        <f>I86+I87+I88+I89</f>
        <v>96.3459946719074</v>
      </c>
      <c r="J85" s="36">
        <f t="shared" si="46"/>
        <v>0.220675293478806</v>
      </c>
      <c r="K85" s="35">
        <f>K86+K87+K88+K89</f>
        <v>100.116668908375</v>
      </c>
      <c r="L85" s="36">
        <f t="shared" si="47"/>
        <v>0.228312951189301</v>
      </c>
      <c r="M85" s="35">
        <f>M86+M87+M88+M89</f>
        <v>89.4363834051066</v>
      </c>
      <c r="N85" s="36">
        <f t="shared" si="48"/>
        <v>0.0348262624593139</v>
      </c>
      <c r="O85" s="35">
        <f>O86+O87+O88+O89</f>
        <v>86.2108944094484</v>
      </c>
      <c r="P85" s="36">
        <f t="shared" si="49"/>
        <v>0.0797140862886636</v>
      </c>
      <c r="Q85" s="35">
        <f>Q86+Q87+Q88+Q89</f>
        <v>85.1955733561869</v>
      </c>
      <c r="R85" s="36">
        <f t="shared" si="50"/>
        <v>-0.0343007112040534</v>
      </c>
      <c r="S85" s="35">
        <f>S86+S87+S88+S89</f>
        <v>81.4124652709919</v>
      </c>
      <c r="T85" s="36">
        <f t="shared" si="51"/>
        <v>0.0514607238901881</v>
      </c>
      <c r="U85" s="35">
        <f>U86+U87+U88+U89</f>
        <v>87.9534820794609</v>
      </c>
      <c r="V85" s="36">
        <f t="shared" si="52"/>
        <v>0.0661465935675887</v>
      </c>
      <c r="W85" s="35">
        <f>W86+W87+W88+W89</f>
        <v>82.6387287586704</v>
      </c>
      <c r="X85" s="36">
        <f t="shared" si="53"/>
        <v>0.066093648660235</v>
      </c>
      <c r="Y85" s="35">
        <f t="shared" si="40"/>
        <v>906.707325454081</v>
      </c>
      <c r="Z85" s="36">
        <f t="shared" si="41"/>
        <v>0.06907857790451</v>
      </c>
      <c r="AA85" s="37"/>
      <c r="AB85" s="38"/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42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338</v>
      </c>
      <c r="C86" s="35">
        <v>6.0417</v>
      </c>
      <c r="D86" s="36">
        <f t="shared" si="43"/>
        <v>-0.655104895104895</v>
      </c>
      <c r="E86" s="35">
        <v>6.0284</v>
      </c>
      <c r="F86" s="36">
        <f t="shared" si="44"/>
        <v>-0.697798809923653</v>
      </c>
      <c r="G86" s="35">
        <v>6.2222</v>
      </c>
      <c r="H86" s="36">
        <f t="shared" si="45"/>
        <v>-0.631937912962207</v>
      </c>
      <c r="I86" s="35">
        <f>中口径明细!AB86</f>
        <v>6.4656</v>
      </c>
      <c r="J86" s="36">
        <f t="shared" si="46"/>
        <v>-0.436504823907757</v>
      </c>
      <c r="K86" s="35">
        <f>中口径明细!AD86</f>
        <v>5.876</v>
      </c>
      <c r="L86" s="36">
        <f t="shared" si="47"/>
        <v>-0.490589428603629</v>
      </c>
      <c r="M86" s="35">
        <f>中口径明细!AF86</f>
        <v>5.4243</v>
      </c>
      <c r="N86" s="36">
        <f t="shared" si="48"/>
        <v>-0.457173736827884</v>
      </c>
      <c r="O86" s="35">
        <f>中口径明细!AH86</f>
        <v>5.367</v>
      </c>
      <c r="P86" s="36">
        <f t="shared" si="49"/>
        <v>-0.467390441409971</v>
      </c>
      <c r="Q86" s="35">
        <f>中口径明细!AJ86</f>
        <v>5.344</v>
      </c>
      <c r="R86" s="36">
        <f t="shared" si="50"/>
        <v>-0.471377840206542</v>
      </c>
      <c r="S86" s="35">
        <f>中口径明细!AL86</f>
        <v>5.0093</v>
      </c>
      <c r="T86" s="36">
        <f t="shared" si="51"/>
        <v>-0.446651275310128</v>
      </c>
      <c r="U86" s="35">
        <f>中口径明细!AN86</f>
        <v>4.5789</v>
      </c>
      <c r="V86" s="36">
        <f t="shared" si="52"/>
        <v>-0.489668316169587</v>
      </c>
      <c r="W86" s="35">
        <f>中口径明细!AP86</f>
        <v>4.2379</v>
      </c>
      <c r="X86" s="36">
        <f t="shared" si="53"/>
        <v>-0.512913050974082</v>
      </c>
      <c r="Y86" s="35">
        <f t="shared" si="40"/>
        <v>56.3574</v>
      </c>
      <c r="Z86" s="36">
        <f t="shared" si="41"/>
        <v>-0.551237418779462</v>
      </c>
      <c r="AA86" s="37"/>
      <c r="AB86" s="38"/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42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295</v>
      </c>
      <c r="C87" s="35">
        <v>48.19</v>
      </c>
      <c r="D87" s="36">
        <f t="shared" si="43"/>
        <v>0.0115449202350966</v>
      </c>
      <c r="E87" s="35">
        <v>74.18</v>
      </c>
      <c r="F87" s="36">
        <f t="shared" si="44"/>
        <v>0.691290469676243</v>
      </c>
      <c r="G87" s="35">
        <f>公交!Z69-公交!Z71</f>
        <v>68.37</v>
      </c>
      <c r="H87" s="36">
        <f t="shared" si="45"/>
        <v>0.77170251360456</v>
      </c>
      <c r="I87" s="35">
        <f>公交!AB69-公交!AB71</f>
        <v>66.45</v>
      </c>
      <c r="J87" s="36">
        <f t="shared" si="46"/>
        <v>0.681427125506072</v>
      </c>
      <c r="K87" s="35">
        <f>公交!AD69-公交!AD71</f>
        <v>69.22</v>
      </c>
      <c r="L87" s="36">
        <f t="shared" si="47"/>
        <v>0.691180063523088</v>
      </c>
      <c r="M87" s="35">
        <f>公交!AF69-公交!AF71</f>
        <v>60.77</v>
      </c>
      <c r="N87" s="36">
        <f t="shared" si="48"/>
        <v>0.466103739445114</v>
      </c>
      <c r="O87" s="35">
        <f>公交!AH69-公交!AH71</f>
        <v>56.03</v>
      </c>
      <c r="P87" s="36">
        <f t="shared" si="49"/>
        <v>0.362597276264592</v>
      </c>
      <c r="Q87" s="35">
        <f>公交!AJ69-公交!AJ71</f>
        <v>54.69</v>
      </c>
      <c r="R87" s="36">
        <f t="shared" si="50"/>
        <v>0.348705302096178</v>
      </c>
      <c r="S87" s="35">
        <f>公交!AL69-公交!AL71</f>
        <v>52.76</v>
      </c>
      <c r="T87" s="36">
        <f t="shared" si="51"/>
        <v>0.282450170150705</v>
      </c>
      <c r="U87" s="35">
        <f>公交!AN69-公交!AN71</f>
        <v>56.11</v>
      </c>
      <c r="V87" s="36">
        <f t="shared" si="52"/>
        <v>0.268882858435097</v>
      </c>
      <c r="W87" s="35">
        <f>公交!AP69-公交!AP71</f>
        <v>50.73</v>
      </c>
      <c r="X87" s="36">
        <f t="shared" si="53"/>
        <v>0.201278711816244</v>
      </c>
      <c r="Y87" s="35">
        <f t="shared" si="40"/>
        <v>606.77</v>
      </c>
      <c r="Z87" s="36">
        <f t="shared" si="41"/>
        <v>0.448069304567801</v>
      </c>
      <c r="AA87" s="37"/>
      <c r="AB87" s="38"/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42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296</v>
      </c>
      <c r="C88" s="35">
        <v>20.91</v>
      </c>
      <c r="D88" s="36">
        <f t="shared" si="43"/>
        <v>-0.0337338262476895</v>
      </c>
      <c r="E88" s="35">
        <v>20.4</v>
      </c>
      <c r="F88" s="36">
        <f t="shared" si="44"/>
        <v>-0.157372986369269</v>
      </c>
      <c r="G88" s="35">
        <f>出租!Z69-出租!Z71</f>
        <v>20.95</v>
      </c>
      <c r="H88" s="36">
        <f t="shared" si="45"/>
        <v>-0.00522317188983834</v>
      </c>
      <c r="I88" s="35">
        <f>出租!AB69-出租!AB71</f>
        <v>20.3</v>
      </c>
      <c r="J88" s="36">
        <f t="shared" si="46"/>
        <v>-0.00343642611683836</v>
      </c>
      <c r="K88" s="35">
        <f>出租!AD69-出租!AD71</f>
        <v>21.07</v>
      </c>
      <c r="L88" s="36">
        <f t="shared" si="47"/>
        <v>0.000474833808167263</v>
      </c>
      <c r="M88" s="35">
        <f>出租!AF69-出租!AF71</f>
        <v>18.97</v>
      </c>
      <c r="N88" s="36">
        <f t="shared" si="48"/>
        <v>0.0423076923076926</v>
      </c>
      <c r="O88" s="35">
        <f>出租!AH69-出租!AH71</f>
        <v>19.35</v>
      </c>
      <c r="P88" s="36">
        <f t="shared" si="49"/>
        <v>0.0200316288877171</v>
      </c>
      <c r="Q88" s="35">
        <f>出租!AJ69-出租!AJ71</f>
        <v>19.34</v>
      </c>
      <c r="R88" s="36">
        <f t="shared" si="50"/>
        <v>0.0276301806588732</v>
      </c>
      <c r="S88" s="35">
        <f>出租!AL69-出租!AL71</f>
        <v>18.69</v>
      </c>
      <c r="T88" s="36">
        <f t="shared" si="51"/>
        <v>-0.0173501577287067</v>
      </c>
      <c r="U88" s="35">
        <f>出租!AN69-出租!AN71</f>
        <v>20.46</v>
      </c>
      <c r="V88" s="36">
        <f t="shared" si="52"/>
        <v>-0.00920096852300234</v>
      </c>
      <c r="W88" s="35">
        <f>出租!AP69-出租!AP71</f>
        <v>18.35</v>
      </c>
      <c r="X88" s="36">
        <f t="shared" si="53"/>
        <v>-0.0123789020452093</v>
      </c>
      <c r="Y88" s="35">
        <f t="shared" si="40"/>
        <v>200.44</v>
      </c>
      <c r="Z88" s="36">
        <f t="shared" si="41"/>
        <v>-0.0174509803921569</v>
      </c>
      <c r="AA88" s="37"/>
      <c r="AB88" s="38"/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42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339</v>
      </c>
      <c r="C89" s="35">
        <v>1.74968794815737</v>
      </c>
      <c r="D89" s="36">
        <f t="shared" si="43"/>
        <v>-0.815186351194707</v>
      </c>
      <c r="E89" s="35">
        <v>2.20363316375506</v>
      </c>
      <c r="F89" s="36">
        <f t="shared" si="44"/>
        <v>-0.571186441580392</v>
      </c>
      <c r="G89" s="35">
        <v>4.79024224069115</v>
      </c>
      <c r="H89" s="36">
        <f t="shared" si="45"/>
        <v>-0.342760906834756</v>
      </c>
      <c r="I89" s="35">
        <f>网约车!AB69-网约车!AB71</f>
        <v>3.13039467190739</v>
      </c>
      <c r="J89" s="36">
        <f t="shared" si="46"/>
        <v>-0.586164113961805</v>
      </c>
      <c r="K89" s="35">
        <f>网约车!AD69-网约车!AD71</f>
        <v>3.95066890837491</v>
      </c>
      <c r="L89" s="36">
        <f t="shared" si="47"/>
        <v>-0.50508748582652</v>
      </c>
      <c r="M89" s="35">
        <f>网约车!AF69-网约车!AF71</f>
        <v>4.2720834051066</v>
      </c>
      <c r="N89" s="36">
        <f t="shared" si="48"/>
        <v>-0.745463456915442</v>
      </c>
      <c r="O89" s="35">
        <f>网约车!AH69-网约车!AH71</f>
        <v>5.4638944094484</v>
      </c>
      <c r="P89" s="36">
        <f t="shared" si="49"/>
        <v>-0.435503793752707</v>
      </c>
      <c r="Q89" s="35">
        <f>网约车!AJ69-网约车!AJ71</f>
        <v>5.8215733561869</v>
      </c>
      <c r="R89" s="36">
        <f t="shared" si="50"/>
        <v>-0.689389164515867</v>
      </c>
      <c r="S89" s="35">
        <f>网约车!AL69-网约车!AL71</f>
        <v>4.9531652709919</v>
      </c>
      <c r="T89" s="36">
        <f t="shared" si="51"/>
        <v>-0.397077925578228</v>
      </c>
      <c r="U89" s="35">
        <f>网约车!AN69-网约车!AN71</f>
        <v>6.8045820794609</v>
      </c>
      <c r="V89" s="36">
        <f t="shared" si="52"/>
        <v>-0.213725995959855</v>
      </c>
      <c r="W89" s="35">
        <f>网约车!AP69-网约车!AP71</f>
        <v>9.3208287586704</v>
      </c>
      <c r="X89" s="36">
        <f t="shared" si="53"/>
        <v>0.164383154514797</v>
      </c>
      <c r="Y89" s="35">
        <f t="shared" si="40"/>
        <v>43.1399254540806</v>
      </c>
      <c r="Z89" s="36">
        <f t="shared" si="41"/>
        <v>-0.566504255954009</v>
      </c>
      <c r="AA89" s="37"/>
      <c r="AB89" s="38"/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42"/>
        <v>115.638134062796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337</v>
      </c>
      <c r="C90" s="35">
        <f>C91+C92+C93+C94</f>
        <v>11.9710738764096</v>
      </c>
      <c r="D90" s="36">
        <f t="shared" si="43"/>
        <v>0.424150149866717</v>
      </c>
      <c r="E90" s="35">
        <f>E91+E92+E93+E94</f>
        <v>10.282119155696</v>
      </c>
      <c r="F90" s="36">
        <f t="shared" si="44"/>
        <v>-0.000614702742884443</v>
      </c>
      <c r="G90" s="35">
        <f>G91+G92+G93+G94</f>
        <v>6.32363960933605</v>
      </c>
      <c r="H90" s="36">
        <f t="shared" si="45"/>
        <v>0.275940462017416</v>
      </c>
      <c r="I90" s="35">
        <f>I91+I92+I93+I94</f>
        <v>11.6143222482565</v>
      </c>
      <c r="J90" s="36">
        <f t="shared" si="46"/>
        <v>0.42448871267185</v>
      </c>
      <c r="K90" s="35">
        <f>K91+K92+K93+K94</f>
        <v>13.3340995238469</v>
      </c>
      <c r="L90" s="36">
        <f t="shared" si="47"/>
        <v>0.210826723345659</v>
      </c>
      <c r="M90" s="35">
        <f>M91+M92+M93+M94</f>
        <v>10.0559910905359</v>
      </c>
      <c r="N90" s="36">
        <f t="shared" si="48"/>
        <v>0.0894377442709804</v>
      </c>
      <c r="O90" s="35">
        <f>O91+O92+O93+O94</f>
        <v>24.0662810266181</v>
      </c>
      <c r="P90" s="36">
        <f t="shared" si="49"/>
        <v>0.293466002874377</v>
      </c>
      <c r="Q90" s="35">
        <f>Q91+Q92+Q93+Q94</f>
        <v>29.1862487436847</v>
      </c>
      <c r="R90" s="36">
        <f t="shared" si="50"/>
        <v>-0.144710828188027</v>
      </c>
      <c r="S90" s="35">
        <f>S91+S92+S93+S94</f>
        <v>9.34942597271939</v>
      </c>
      <c r="T90" s="36">
        <f t="shared" si="51"/>
        <v>0.0721789955801777</v>
      </c>
      <c r="U90" s="35">
        <f>U91+U92+U93+U94</f>
        <v>9.91893813358054</v>
      </c>
      <c r="V90" s="36">
        <f t="shared" si="52"/>
        <v>-0.249483278814302</v>
      </c>
      <c r="W90" s="35">
        <f>W91+W92+W93+W94</f>
        <v>6.80424983746689</v>
      </c>
      <c r="X90" s="36">
        <f t="shared" si="53"/>
        <v>0.261951280804925</v>
      </c>
      <c r="Y90" s="35">
        <f t="shared" si="40"/>
        <v>136.102139380683</v>
      </c>
      <c r="Z90" s="36">
        <f t="shared" si="41"/>
        <v>0.0740971334182374</v>
      </c>
      <c r="AA90" s="37"/>
      <c r="AB90" s="38"/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42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338</v>
      </c>
      <c r="C91" s="35">
        <v>9.2423</v>
      </c>
      <c r="D91" s="36">
        <f t="shared" si="43"/>
        <v>0.555733234581201</v>
      </c>
      <c r="E91" s="35">
        <v>7.6316</v>
      </c>
      <c r="F91" s="36">
        <f t="shared" si="44"/>
        <v>-0.0245910020449898</v>
      </c>
      <c r="G91" s="35">
        <v>3.3291</v>
      </c>
      <c r="H91" s="36">
        <f t="shared" si="45"/>
        <v>0.341189267585207</v>
      </c>
      <c r="I91" s="35">
        <f>中口径明细!AB91</f>
        <v>8.6843</v>
      </c>
      <c r="J91" s="36">
        <f t="shared" si="46"/>
        <v>0.602358064099489</v>
      </c>
      <c r="K91" s="35">
        <f>中口径明细!AD91</f>
        <v>10.2048</v>
      </c>
      <c r="L91" s="36">
        <f t="shared" si="47"/>
        <v>0.250818165103879</v>
      </c>
      <c r="M91" s="35">
        <f>中口径明细!AF91</f>
        <v>6.9615</v>
      </c>
      <c r="N91" s="36">
        <f t="shared" si="48"/>
        <v>0.0655900811265879</v>
      </c>
      <c r="O91" s="35">
        <f>中口径明细!AH91</f>
        <v>20.731</v>
      </c>
      <c r="P91" s="36">
        <f t="shared" si="49"/>
        <v>0.362420562160315</v>
      </c>
      <c r="Q91" s="35">
        <f>中口径明细!AJ91</f>
        <v>26.0203</v>
      </c>
      <c r="R91" s="36">
        <f t="shared" si="50"/>
        <v>-0.162575068068152</v>
      </c>
      <c r="S91" s="35">
        <f>中口径明细!AL91</f>
        <v>6.3018</v>
      </c>
      <c r="T91" s="36">
        <f t="shared" si="51"/>
        <v>0.034506533587235</v>
      </c>
      <c r="U91" s="35">
        <f>中口径明细!AN91</f>
        <v>6.5631</v>
      </c>
      <c r="V91" s="36">
        <f t="shared" si="52"/>
        <v>-0.383393305085542</v>
      </c>
      <c r="W91" s="35">
        <f>中口径明细!AP91</f>
        <v>3.6566</v>
      </c>
      <c r="X91" s="36">
        <f t="shared" si="53"/>
        <v>0.287671232876712</v>
      </c>
      <c r="Y91" s="35">
        <f t="shared" si="40"/>
        <v>105.6698</v>
      </c>
      <c r="Z91" s="36">
        <f t="shared" si="41"/>
        <v>0.0632711422010872</v>
      </c>
      <c r="AA91" s="37"/>
      <c r="AB91" s="38"/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42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295</v>
      </c>
      <c r="C92" s="35">
        <v>0.3</v>
      </c>
      <c r="D92" s="36">
        <f t="shared" si="43"/>
        <v>0.500000000000007</v>
      </c>
      <c r="E92" s="35">
        <v>0.22</v>
      </c>
      <c r="F92" s="36">
        <f t="shared" si="44"/>
        <v>0.0999999999999999</v>
      </c>
      <c r="G92" s="35">
        <f>公交!Z73-公交!Z75</f>
        <v>0.539999999999999</v>
      </c>
      <c r="H92" s="36">
        <f t="shared" si="45"/>
        <v>1.7</v>
      </c>
      <c r="I92" s="35">
        <f>公交!AB73-公交!AB75</f>
        <v>0.5</v>
      </c>
      <c r="J92" s="36">
        <f t="shared" si="46"/>
        <v>0.0416666666666667</v>
      </c>
      <c r="K92" s="35">
        <f>公交!AD73-公交!AD75</f>
        <v>0.699999999999999</v>
      </c>
      <c r="L92" s="36">
        <f t="shared" si="47"/>
        <v>0.166666666666666</v>
      </c>
      <c r="M92" s="35">
        <f>公交!AF73-公交!AF75</f>
        <v>0.67</v>
      </c>
      <c r="N92" s="36">
        <f t="shared" si="48"/>
        <v>0.488888888888892</v>
      </c>
      <c r="O92" s="35">
        <f>公交!AH73-公交!AH75</f>
        <v>0.799999999999999</v>
      </c>
      <c r="P92" s="36">
        <f t="shared" si="49"/>
        <v>0.269841269841266</v>
      </c>
      <c r="Q92" s="35">
        <f>公交!AJ73-公交!AJ75</f>
        <v>0.699999999999999</v>
      </c>
      <c r="R92" s="36">
        <f t="shared" si="50"/>
        <v>0.944444444444437</v>
      </c>
      <c r="S92" s="35">
        <f>公交!AL73-公交!AL75</f>
        <v>0.6</v>
      </c>
      <c r="T92" s="36">
        <f t="shared" si="51"/>
        <v>0.999999999999992</v>
      </c>
      <c r="U92" s="35">
        <f>公交!AN73-公交!AN75</f>
        <v>0.9</v>
      </c>
      <c r="V92" s="36">
        <f t="shared" si="52"/>
        <v>2.00000000000001</v>
      </c>
      <c r="W92" s="35">
        <f>公交!AP73-公交!AP75</f>
        <v>0.75</v>
      </c>
      <c r="X92" s="36">
        <f t="shared" si="53"/>
        <v>1.88461538461538</v>
      </c>
      <c r="Y92" s="35">
        <f t="shared" si="40"/>
        <v>5.93</v>
      </c>
      <c r="Z92" s="36">
        <f t="shared" si="41"/>
        <v>0.594086021505375</v>
      </c>
      <c r="AA92" s="37"/>
      <c r="AB92" s="38"/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42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296</v>
      </c>
      <c r="C93" s="35">
        <v>2.4</v>
      </c>
      <c r="D93" s="36">
        <f t="shared" si="43"/>
        <v>0.0619469026548674</v>
      </c>
      <c r="E93" s="35">
        <v>2.4</v>
      </c>
      <c r="F93" s="36">
        <f t="shared" si="44"/>
        <v>0.0619469026548674</v>
      </c>
      <c r="G93" s="35">
        <f>出租!Z73-出租!Z75</f>
        <v>2.4</v>
      </c>
      <c r="H93" s="36">
        <f t="shared" si="45"/>
        <v>0.0572687224669606</v>
      </c>
      <c r="I93" s="35">
        <f>出租!AB73-出租!AB75</f>
        <v>2.4</v>
      </c>
      <c r="J93" s="36">
        <f t="shared" si="46"/>
        <v>0.066666666666666</v>
      </c>
      <c r="K93" s="35">
        <f>出租!AD73-出租!AD75</f>
        <v>2.4</v>
      </c>
      <c r="L93" s="36">
        <f t="shared" si="47"/>
        <v>0.0666666666666669</v>
      </c>
      <c r="M93" s="35">
        <f>出租!AF73-出租!AF75</f>
        <v>2.4</v>
      </c>
      <c r="N93" s="36">
        <f t="shared" si="48"/>
        <v>0.0714285714285714</v>
      </c>
      <c r="O93" s="35">
        <f>出租!AH73-出租!AH75</f>
        <v>2.48</v>
      </c>
      <c r="P93" s="36">
        <f t="shared" si="49"/>
        <v>-0.0981818181818174</v>
      </c>
      <c r="Q93" s="35">
        <f>出租!AJ73-出租!AJ75</f>
        <v>2.4</v>
      </c>
      <c r="R93" s="36">
        <f t="shared" si="50"/>
        <v>-0.0977443609022556</v>
      </c>
      <c r="S93" s="35">
        <f>出租!AL73-出租!AL75</f>
        <v>2.4</v>
      </c>
      <c r="T93" s="36">
        <f t="shared" si="51"/>
        <v>0.0344827586206891</v>
      </c>
      <c r="U93" s="35">
        <f>出租!AN73-出租!AN75</f>
        <v>2.4</v>
      </c>
      <c r="V93" s="36">
        <f t="shared" si="52"/>
        <v>0.0619469026548676</v>
      </c>
      <c r="W93" s="35">
        <f>出租!AP73-出租!AP75</f>
        <v>2.35</v>
      </c>
      <c r="X93" s="36">
        <f t="shared" si="53"/>
        <v>0.0307017543859656</v>
      </c>
      <c r="Y93" s="35">
        <f t="shared" si="40"/>
        <v>24.08</v>
      </c>
      <c r="Z93" s="36">
        <f t="shared" si="41"/>
        <v>0.0238095238095235</v>
      </c>
      <c r="AA93" s="37"/>
      <c r="AB93" s="38"/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42"/>
        <v>28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339</v>
      </c>
      <c r="C94" s="35">
        <v>0.0287738764095598</v>
      </c>
      <c r="D94" s="36">
        <f t="shared" si="43"/>
        <v>4.79338292030136</v>
      </c>
      <c r="E94" s="35">
        <v>0.0305191556959705</v>
      </c>
      <c r="F94" s="36">
        <f t="shared" si="44"/>
        <v>5.86828479583864</v>
      </c>
      <c r="G94" s="35">
        <v>0.0545396093360492</v>
      </c>
      <c r="H94" s="36">
        <f t="shared" si="45"/>
        <v>13.1233441079042</v>
      </c>
      <c r="I94" s="35">
        <f>网约车!AB73-网约车!AB75</f>
        <v>0.030022248256463</v>
      </c>
      <c r="J94" s="36">
        <f t="shared" si="46"/>
        <v>7.277487077119</v>
      </c>
      <c r="K94" s="35">
        <f>网约车!AD73-网约车!AD75</f>
        <v>0.029299523846911</v>
      </c>
      <c r="L94" s="36">
        <f t="shared" si="47"/>
        <v>6.52653997552444</v>
      </c>
      <c r="M94" s="35">
        <f>网约车!AF73-网约车!AF75</f>
        <v>0.024491090535868</v>
      </c>
      <c r="N94" s="36">
        <f t="shared" si="48"/>
        <v>2.29126169382784</v>
      </c>
      <c r="O94" s="35">
        <f>网约车!AH73-网约车!AH75</f>
        <v>0.055281026618058</v>
      </c>
      <c r="P94" s="36">
        <f t="shared" si="49"/>
        <v>4.67529235881596</v>
      </c>
      <c r="Q94" s="35">
        <f>网约车!AJ73-网约车!AJ75</f>
        <v>0.065948743684707</v>
      </c>
      <c r="R94" s="36">
        <f t="shared" si="50"/>
        <v>1.02159515671023</v>
      </c>
      <c r="S94" s="35">
        <f>网约车!AL73-网约车!AL75</f>
        <v>0.047625972719393</v>
      </c>
      <c r="T94" s="36">
        <f t="shared" si="51"/>
        <v>4.65398174198349</v>
      </c>
      <c r="U94" s="35">
        <f>网约车!AN73-网约车!AN75</f>
        <v>0.055838133580537</v>
      </c>
      <c r="V94" s="36">
        <f t="shared" si="52"/>
        <v>3.55991673743628</v>
      </c>
      <c r="W94" s="35">
        <f>网约车!AP73-网约车!AP75</f>
        <v>0.04764983746689</v>
      </c>
      <c r="X94" s="36">
        <f t="shared" si="53"/>
        <v>2.92235396320957</v>
      </c>
      <c r="Y94" s="35">
        <f t="shared" si="40"/>
        <v>0.422339380683517</v>
      </c>
      <c r="Z94" s="36">
        <f t="shared" si="41"/>
        <v>3.62763979029986</v>
      </c>
      <c r="AA94" s="37"/>
      <c r="AB94" s="38"/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42"/>
        <v>0.11829729455103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298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299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152</v>
      </c>
      <c r="BK97" s="24" t="s">
        <v>153</v>
      </c>
      <c r="BL97" s="24" t="s">
        <v>154</v>
      </c>
      <c r="BM97" s="24" t="s">
        <v>270</v>
      </c>
      <c r="BN97" s="24" t="s">
        <v>271</v>
      </c>
      <c r="BO97" s="24" t="s">
        <v>272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340</v>
      </c>
      <c r="C99" s="35">
        <f>C100+C101+C102+C103</f>
        <v>144202.43381</v>
      </c>
      <c r="D99" s="36">
        <f t="shared" ref="D99:D106" si="54">C99/AC99-1</f>
        <v>0.108735141790892</v>
      </c>
      <c r="E99" s="35">
        <f>E100+E101+E102+E103</f>
        <v>152296.55175</v>
      </c>
      <c r="F99" s="36">
        <f t="shared" ref="F99:F130" si="55">E99/AE99-1</f>
        <v>0.101160199816604</v>
      </c>
      <c r="G99" s="35">
        <f>G100+G101+G102+G103</f>
        <v>156792.5259</v>
      </c>
      <c r="H99" s="36">
        <f t="shared" ref="H99:H130" si="56">G99/AG99-1</f>
        <v>0.122525220778733</v>
      </c>
      <c r="I99" s="35">
        <f>I100+I101+I102+I103</f>
        <v>169913.016964</v>
      </c>
      <c r="J99" s="36">
        <f t="shared" ref="J99:J130" si="57">I99/AI99-1</f>
        <v>0.103078608087559</v>
      </c>
      <c r="K99" s="35">
        <f>K100+K101+K102+K103</f>
        <v>165955.7804</v>
      </c>
      <c r="L99" s="36">
        <f t="shared" ref="L99:L130" si="58">K99/AK99-1</f>
        <v>0.0852396714205252</v>
      </c>
      <c r="M99" s="35">
        <f>M100+M101+M102+M103</f>
        <v>155737.2497</v>
      </c>
      <c r="N99" s="36">
        <f t="shared" ref="N99:N130" si="59">M99/AM99-1</f>
        <v>0.0994420472394326</v>
      </c>
      <c r="O99" s="35">
        <f>O100+O101+O102+O103</f>
        <v>157380.8272</v>
      </c>
      <c r="P99" s="36">
        <f t="shared" ref="P99:P130" si="60">O99/AO99-1</f>
        <v>0.0652878851728658</v>
      </c>
      <c r="Q99" s="35">
        <f>Q100+Q101+Q102+Q103</f>
        <v>154405.83</v>
      </c>
      <c r="R99" s="36">
        <f t="shared" ref="R99:R130" si="61">Q99/AQ99-1</f>
        <v>0.0390413220953401</v>
      </c>
      <c r="S99" s="35">
        <f>S100+S101+S102+S103</f>
        <v>149915.8019</v>
      </c>
      <c r="T99" s="36">
        <f t="shared" ref="T99:T130" si="62">S99/AS99-1</f>
        <v>0.0356930233015733</v>
      </c>
      <c r="U99" s="35">
        <f>U100+U101+U102+U103</f>
        <v>157572.669341</v>
      </c>
      <c r="V99" s="36">
        <f t="shared" ref="V99:V130" si="63">U99/AU99-1</f>
        <v>-0.0422240677491111</v>
      </c>
      <c r="W99" s="35">
        <f>W100+W101+W102+W103</f>
        <v>150427.714692</v>
      </c>
      <c r="X99" s="36">
        <f t="shared" ref="X99:X130" si="64">W99/AW99-1</f>
        <v>-0.0144309045007784</v>
      </c>
      <c r="Y99" s="35">
        <f t="shared" ref="Y99:Y130" si="65">E99+C99+G99+I99+K99+M99+O99+Q99+S99</f>
        <v>1406600.017624</v>
      </c>
      <c r="Z99" s="36">
        <f t="shared" ref="Z99:Z130" si="66">Y99/SUM(AC99,AE99,AG99,AI99,AK99,AM99,AO99,AQ99,AS99)-1</f>
        <v>0.0838839508882563</v>
      </c>
      <c r="AA99" s="37"/>
      <c r="AB99" s="38"/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30" si="67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68">BD100+BD101+BD102+BD103</f>
        <v>107024.4322</v>
      </c>
      <c r="BE99" s="38">
        <f t="shared" si="68"/>
        <v>131003.8454126</v>
      </c>
      <c r="BF99" s="38">
        <f t="shared" si="68"/>
        <v>139436.2334</v>
      </c>
      <c r="BG99" s="38">
        <f t="shared" si="68"/>
        <v>146585.8942</v>
      </c>
      <c r="BH99" s="38">
        <f t="shared" si="68"/>
        <v>144464.6429</v>
      </c>
      <c r="BI99" s="38">
        <f t="shared" si="68"/>
        <v>140193.4222</v>
      </c>
      <c r="BJ99" s="38">
        <f t="shared" si="68"/>
        <v>156041.3622</v>
      </c>
      <c r="BK99" s="38">
        <f t="shared" si="68"/>
        <v>147744.3501</v>
      </c>
      <c r="BL99" s="38">
        <f t="shared" si="68"/>
        <v>140942.8187</v>
      </c>
      <c r="BM99" s="38">
        <f t="shared" si="68"/>
        <v>150430.7436</v>
      </c>
      <c r="BN99" s="38">
        <f t="shared" si="68"/>
        <v>143525.6758</v>
      </c>
      <c r="BO99" s="38">
        <f t="shared" si="68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301</v>
      </c>
      <c r="C100" s="35">
        <f>C105+C110+C115+C120+C125+C130+C135+C140+C145+C150+C155+C160+C165+C170+C175+C180+C185</f>
        <v>103778.21381</v>
      </c>
      <c r="D100" s="36">
        <f t="shared" si="54"/>
        <v>0.182729441967362</v>
      </c>
      <c r="E100" s="35">
        <f>E105+E110+E115+E120+E125+E130+E135+E140+E145+E150+E155+E160+E165+E170+E175+E180+E185</f>
        <v>112395.81175</v>
      </c>
      <c r="F100" s="36">
        <f t="shared" si="55"/>
        <v>0.101866076377529</v>
      </c>
      <c r="G100" s="35">
        <f>G105+G110+G115+G120+G125+G130+G135+G140+G145+G150+G155+G160+G165+G170+G175+G180+G185</f>
        <v>113217.6659</v>
      </c>
      <c r="H100" s="36">
        <f t="shared" si="56"/>
        <v>0.120661756352595</v>
      </c>
      <c r="I100" s="35">
        <f>I105+I110+I115+I120+I125+I130+I135+I140+I145+I150+I155+I160+I165+I170+I175+I180+I185</f>
        <v>126127.506964</v>
      </c>
      <c r="J100" s="36">
        <f t="shared" si="57"/>
        <v>0.109669325483287</v>
      </c>
      <c r="K100" s="35">
        <f>K105+K110+K115+K120+K125+K130+K135+K140+K145+K150+K155+K160+K165+K170+K175+K180+K185</f>
        <v>120094.2804</v>
      </c>
      <c r="L100" s="36">
        <f t="shared" si="58"/>
        <v>0.0646012696213658</v>
      </c>
      <c r="M100" s="35">
        <f>M105+M110+M115+M120+M125+M130+M135+M140+M145+M150+M155+M160+M165+M170+M175+M180+M185</f>
        <v>111570.9997</v>
      </c>
      <c r="N100" s="36">
        <f t="shared" si="59"/>
        <v>0.0853360260891394</v>
      </c>
      <c r="O100" s="35">
        <f>O105+O110+O115+O120+O125+O130+O135+O140+O145+O150+O155+O160+O165+O170+O175+O180+O185</f>
        <v>115657.7872</v>
      </c>
      <c r="P100" s="36">
        <f t="shared" si="60"/>
        <v>0.0635823815878951</v>
      </c>
      <c r="Q100" s="35">
        <f>Q105+Q110+Q115+Q120+Q125+Q130+Q135+Q140+Q145+Q150+Q155+Q160+Q165+Q170+Q175+Q180+Q185</f>
        <v>115659.11</v>
      </c>
      <c r="R100" s="36">
        <f t="shared" si="61"/>
        <v>0.0417686289270238</v>
      </c>
      <c r="S100" s="35">
        <f>S105+S110+S115+S120+S125+S130+S135+S140+S145+S150+S155+S160+S165+S170+S175+S180+S185</f>
        <v>110618.6519</v>
      </c>
      <c r="T100" s="36">
        <f t="shared" si="62"/>
        <v>0.048135005377127</v>
      </c>
      <c r="U100" s="35">
        <f>U105+U110+U115+U120+U125+U130+U135+U140+U145+U150+U155+U160+U165+U170+U175+U180+U185</f>
        <v>117451.749341</v>
      </c>
      <c r="V100" s="36">
        <f t="shared" si="63"/>
        <v>-0.0541603778297368</v>
      </c>
      <c r="W100" s="35">
        <f>W105+W110+W115+W120+W125+W130+W135+W140+W145+W150+W155+W160+W165+W170+W175+W180+W185</f>
        <v>111181.804692</v>
      </c>
      <c r="X100" s="36">
        <f t="shared" si="64"/>
        <v>-0.0188148630091607</v>
      </c>
      <c r="Y100" s="35">
        <f t="shared" si="65"/>
        <v>1029120.027624</v>
      </c>
      <c r="Z100" s="36">
        <f t="shared" si="66"/>
        <v>0.0886140554483712</v>
      </c>
      <c r="AA100" s="37"/>
      <c r="AB100" s="38"/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67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341</v>
      </c>
      <c r="C101" s="35">
        <f>C106+C111+C116+C121+C126+C131+C136+C141+C146+C151+C156+C161+C166+C171+C176+C181+C186</f>
        <v>29935.48</v>
      </c>
      <c r="D101" s="36">
        <f t="shared" si="54"/>
        <v>-0.0103993182162284</v>
      </c>
      <c r="E101" s="35">
        <f>E106+E111+E116+E121+E126+E131+E136+E141+E146+E151+E156+E161+E166+E171+E176+E181+E186</f>
        <v>29730.74</v>
      </c>
      <c r="F101" s="36">
        <f t="shared" si="55"/>
        <v>0.133640841168784</v>
      </c>
      <c r="G101" s="35">
        <f>G106+G111+G116+G121+G126+G131+G136+G141+G146+G151+G156+G161+G166+G171+G176+G181+G186</f>
        <v>33454.62</v>
      </c>
      <c r="H101" s="36">
        <f t="shared" si="56"/>
        <v>0.161716366444681</v>
      </c>
      <c r="I101" s="35">
        <f>I106+I111+I116+I121+I126+I131+I136+I141+I146+I151+I156+I161+I166+I171+I176+I181+I186</f>
        <v>33451.83</v>
      </c>
      <c r="J101" s="36">
        <f t="shared" si="57"/>
        <v>0.11008228096985</v>
      </c>
      <c r="K101" s="35">
        <f>K106+K111+K116+K121+K126+K131+K136+K141+K146+K151+K156+K161+K166+K171+K176+K181+K186</f>
        <v>34521.11</v>
      </c>
      <c r="L101" s="36">
        <f t="shared" si="58"/>
        <v>0.153090564134425</v>
      </c>
      <c r="M101" s="35">
        <f>M106+M111+M116+M121+M126+M131+M136+M141+M146+M151+M156+M161+M166+M171+M176+M181+M186</f>
        <v>33385.31</v>
      </c>
      <c r="N101" s="36">
        <f t="shared" si="59"/>
        <v>0.172016020855618</v>
      </c>
      <c r="O101" s="35">
        <f>O106+O111+O116+O121+O126+O131+O136+O141+O146+O151+O156+O161+O166+O171+O176+O181+O186</f>
        <v>30289.88</v>
      </c>
      <c r="P101" s="36">
        <f t="shared" si="60"/>
        <v>0.0850983416808739</v>
      </c>
      <c r="Q101" s="35">
        <f>Q106+Q111+Q116+Q121+Q126+Q131+Q136+Q141+Q146+Q151+Q156+Q161+Q166+Q171+Q176+Q181+Q186</f>
        <v>27467.14</v>
      </c>
      <c r="R101" s="36">
        <f t="shared" si="61"/>
        <v>0.0211090837984009</v>
      </c>
      <c r="S101" s="35">
        <f>S106+S111+S116+S121+S126+S131+S136+S141+S146+S151+S156+S161+S166+S171+S176+S181+S186</f>
        <v>28395.26</v>
      </c>
      <c r="T101" s="36">
        <f t="shared" si="62"/>
        <v>-0.0162716430382325</v>
      </c>
      <c r="U101" s="35">
        <f>U106+U111+U116+U121+U126+U131+U136+U141+U146+U151+U156+U161+U166+U171+U176+U181+U186</f>
        <v>28034.41</v>
      </c>
      <c r="V101" s="36">
        <f t="shared" si="63"/>
        <v>-0.0530534307310978</v>
      </c>
      <c r="W101" s="35">
        <f>W106+W111+W116+W121+W126+W131+W136+W141+W146+W151+W156+W161+W166+W171+W176+W181+W186</f>
        <v>27939.59</v>
      </c>
      <c r="X101" s="36">
        <f t="shared" si="64"/>
        <v>-0.0399092951820539</v>
      </c>
      <c r="Y101" s="35">
        <f t="shared" si="65"/>
        <v>280631.37</v>
      </c>
      <c r="Z101" s="36">
        <f t="shared" si="66"/>
        <v>0.0897881565928969</v>
      </c>
      <c r="AA101" s="37"/>
      <c r="AB101" s="38"/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67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303</v>
      </c>
      <c r="C102" s="35">
        <f>C107+C112+C117+C122+C127+C132+C137+C142+C147+C152+C157+C162+C167+C172+C177+C182+C187</f>
        <v>7780.69</v>
      </c>
      <c r="D102" s="36">
        <f t="shared" si="54"/>
        <v>-0.104975458026726</v>
      </c>
      <c r="E102" s="35">
        <f>E107+E112+E117+E122+E127+E132+E137+E142+E147+E152+E157+E162+E167+E172+E177+E182+E187</f>
        <v>7590.33</v>
      </c>
      <c r="F102" s="36">
        <f t="shared" si="55"/>
        <v>-0.0268321108363109</v>
      </c>
      <c r="G102" s="35">
        <f>G107+G112+G117+G122+G127+G132+G137+G142+G147+G152+G157+G162+G167+G172+G177+G182+G187</f>
        <v>7230.19</v>
      </c>
      <c r="H102" s="36">
        <f t="shared" si="56"/>
        <v>0.0197599748381192</v>
      </c>
      <c r="I102" s="35">
        <f>I107+I112+I117+I122+I127+I132+I137+I142+I147+I152+I157+I162+I167+I172+I177+I182+I187</f>
        <v>7110.89</v>
      </c>
      <c r="J102" s="36">
        <f t="shared" si="57"/>
        <v>-0.00908710859659145</v>
      </c>
      <c r="K102" s="35">
        <f>K107+K112+K117+K122+K127+K132+K137+K142+K147+K152+K157+K162+K167+K172+K177+K182+K187</f>
        <v>7732.17</v>
      </c>
      <c r="L102" s="36">
        <f t="shared" si="58"/>
        <v>0.0927642001811813</v>
      </c>
      <c r="M102" s="35">
        <f>M107+M112+M117+M122+M127+M132+M137+M142+M147+M152+M157+M162+M167+M172+M177+M182+M187</f>
        <v>7326.46</v>
      </c>
      <c r="N102" s="36">
        <f t="shared" si="59"/>
        <v>0.0516640972419595</v>
      </c>
      <c r="O102" s="35">
        <f>O107+O112+O117+O122+O127+O132+O137+O142+O147+O152+O157+O162+O167+O172+O177+O182+O187</f>
        <v>7734.98</v>
      </c>
      <c r="P102" s="36">
        <f t="shared" si="60"/>
        <v>0.0157157301747797</v>
      </c>
      <c r="Q102" s="35">
        <f>Q107+Q112+Q117+Q122+Q127+Q132+Q137+Q142+Q147+Q152+Q157+Q162+Q167+Q172+Q177+Q182+Q187</f>
        <v>7602.05</v>
      </c>
      <c r="R102" s="36">
        <f t="shared" si="61"/>
        <v>0.0473451449355231</v>
      </c>
      <c r="S102" s="35">
        <f>S107+S112+S117+S122+S127+S132+S137+S142+S147+S152+S157+S162+S167+S172+S177+S182+S187</f>
        <v>7505.9</v>
      </c>
      <c r="T102" s="36">
        <f t="shared" si="62"/>
        <v>0.0531935791659648</v>
      </c>
      <c r="U102" s="35">
        <f>U107+U112+U117+U122+U127+U132+U137+U142+U147+U152+U157+U162+U167+U172+U177+U182+U187</f>
        <v>7971.25</v>
      </c>
      <c r="V102" s="36">
        <f t="shared" si="63"/>
        <v>0.0758264479540907</v>
      </c>
      <c r="W102" s="35">
        <f>W107+W112+W117+W122+W127+W132+W137+W142+W147+W152+W157+W162+W167+W172+W177+W182+W187</f>
        <v>7440.63</v>
      </c>
      <c r="X102" s="36">
        <f t="shared" si="64"/>
        <v>0.0511635989133243</v>
      </c>
      <c r="Y102" s="35">
        <f t="shared" si="65"/>
        <v>67613.66</v>
      </c>
      <c r="Z102" s="36">
        <f t="shared" si="66"/>
        <v>0.0121517501747701</v>
      </c>
      <c r="AA102" s="37"/>
      <c r="AB102" s="38"/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67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304</v>
      </c>
      <c r="C103" s="35">
        <f>C108+C113+C118+C123+C128+C133+C138+C143+C148+C153+C158+C163+C168+C173+C178+C183+C188</f>
        <v>2708.05</v>
      </c>
      <c r="D103" s="36">
        <f t="shared" si="54"/>
        <v>-0.196972392728997</v>
      </c>
      <c r="E103" s="35">
        <f>E108+E113+E118+E123+E128+E133+E138+E143+E148+E153+E158+E163+E168+E173+E178+E183+E188</f>
        <v>2579.67</v>
      </c>
      <c r="F103" s="36">
        <f t="shared" si="55"/>
        <v>0.133885990321179</v>
      </c>
      <c r="G103" s="35">
        <f>G108+G113+G118+G123+G128+G133+G138+G143+G148+G153+G158+G163+G168+G173+G178+G183+G188</f>
        <v>2890.05</v>
      </c>
      <c r="H103" s="36">
        <f t="shared" si="56"/>
        <v>0.0458993493098621</v>
      </c>
      <c r="I103" s="35">
        <f>I108+I113+I118+I123+I128+I133+I138+I143+I148+I153+I158+I163+I168+I173+I178+I183+I188</f>
        <v>3222.79</v>
      </c>
      <c r="J103" s="36">
        <f t="shared" si="57"/>
        <v>0.0523808279834603</v>
      </c>
      <c r="K103" s="35">
        <f>K108+K113+K118+K123+K128+K133+K138+K143+K148+K153+K158+K163+K168+K173+K178+K183+K188</f>
        <v>3608.22000000001</v>
      </c>
      <c r="L103" s="36">
        <f t="shared" si="58"/>
        <v>0.163810537519957</v>
      </c>
      <c r="M103" s="35">
        <f>M108+M113+M118+M123+M128+M133+M138+M143+M148+M153+M158+M163+M168+M173+M178+M183+M188</f>
        <v>3454.47999999999</v>
      </c>
      <c r="N103" s="36">
        <f t="shared" si="59"/>
        <v>0.0158203653386984</v>
      </c>
      <c r="O103" s="35">
        <f>O108+O113+O118+O123+O128+O133+O138+O143+O148+O153+O158+O163+O168+O173+O178+O183+O188</f>
        <v>3698.18</v>
      </c>
      <c r="P103" s="36">
        <f t="shared" si="60"/>
        <v>0.0681682297518587</v>
      </c>
      <c r="Q103" s="35">
        <f>Q108+Q113+Q118+Q123+Q128+Q133+Q138+Q143+Q148+Q153+Q158+Q163+Q168+Q173+Q178+Q183+Q188</f>
        <v>3677.52999999999</v>
      </c>
      <c r="R103" s="36">
        <f t="shared" si="61"/>
        <v>0.0738787512446912</v>
      </c>
      <c r="S103" s="35">
        <f>S108+S113+S118+S123+S128+S133+S138+S143+S148+S153+S158+S163+S168+S173+S178+S183+S188</f>
        <v>3395.99</v>
      </c>
      <c r="T103" s="36">
        <f t="shared" si="62"/>
        <v>0.0549927461268676</v>
      </c>
      <c r="U103" s="35">
        <f>U108+U113+U118+U123+U128+U133+U138+U143+U148+U153+U158+U163+U168+U173+U178+U183+U188</f>
        <v>4115.25999999999</v>
      </c>
      <c r="V103" s="36">
        <f t="shared" si="63"/>
        <v>0.236693983405605</v>
      </c>
      <c r="W103" s="35">
        <f>W108+W113+W118+W123+W128+W133+W138+W143+W148+W153+W158+W163+W168+W173+W178+W183+W188</f>
        <v>3865.69</v>
      </c>
      <c r="X103" s="36">
        <f t="shared" si="64"/>
        <v>0.232265241978158</v>
      </c>
      <c r="Y103" s="35">
        <f t="shared" si="65"/>
        <v>29234.96</v>
      </c>
      <c r="Z103" s="36">
        <f t="shared" si="66"/>
        <v>0.0411432897893733</v>
      </c>
      <c r="AA103" s="37"/>
      <c r="AB103" s="38"/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67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340</v>
      </c>
      <c r="C104" s="35">
        <f>C105+C106+C107+C108</f>
        <v>12997.4243</v>
      </c>
      <c r="D104" s="36">
        <f t="shared" si="54"/>
        <v>0.619947668810997</v>
      </c>
      <c r="E104" s="35">
        <f>E105+E106+E107+E108</f>
        <v>14201.8593</v>
      </c>
      <c r="F104" s="36">
        <f t="shared" si="55"/>
        <v>0.572513539645123</v>
      </c>
      <c r="G104" s="35">
        <f>G105+G106+G107+G108</f>
        <v>19478.384</v>
      </c>
      <c r="H104" s="36">
        <f t="shared" si="56"/>
        <v>0.551680299298396</v>
      </c>
      <c r="I104" s="35">
        <f>I105+I106+I107+I108</f>
        <v>22888.3057</v>
      </c>
      <c r="J104" s="36">
        <f t="shared" si="57"/>
        <v>0.54583253221898</v>
      </c>
      <c r="K104" s="35">
        <f>K105+K106+K107+K108</f>
        <v>20208.1072</v>
      </c>
      <c r="L104" s="36">
        <f t="shared" si="58"/>
        <v>0.466902455757932</v>
      </c>
      <c r="M104" s="35">
        <f>M105+M106+M107+M108</f>
        <v>18551.6849</v>
      </c>
      <c r="N104" s="36">
        <f t="shared" si="59"/>
        <v>0.575547235949612</v>
      </c>
      <c r="O104" s="35">
        <f>O105+O106+O107+O108</f>
        <v>19478.2393</v>
      </c>
      <c r="P104" s="36">
        <f t="shared" si="60"/>
        <v>0.579405565040684</v>
      </c>
      <c r="Q104" s="35">
        <f>Q105+Q106+Q107+Q108</f>
        <v>18453.0139</v>
      </c>
      <c r="R104" s="36">
        <f t="shared" si="61"/>
        <v>0.685688578692462</v>
      </c>
      <c r="S104" s="35">
        <f>S105+S106+S107+S108</f>
        <v>19973.3894</v>
      </c>
      <c r="T104" s="36">
        <f t="shared" si="62"/>
        <v>0.743849216323871</v>
      </c>
      <c r="U104" s="35">
        <f>U105+U106+U107+U108</f>
        <v>21606.9097</v>
      </c>
      <c r="V104" s="36">
        <f t="shared" si="63"/>
        <v>0.0521528494889034</v>
      </c>
      <c r="W104" s="35">
        <f>W105+W106+W107+W108</f>
        <v>21386.1168</v>
      </c>
      <c r="X104" s="36">
        <f t="shared" si="64"/>
        <v>0.130335430518873</v>
      </c>
      <c r="Y104" s="35">
        <f t="shared" si="65"/>
        <v>166230.408</v>
      </c>
      <c r="Z104" s="36">
        <f t="shared" si="66"/>
        <v>0.587711040119471</v>
      </c>
      <c r="AA104" s="37"/>
      <c r="AB104" s="38"/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67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301</v>
      </c>
      <c r="C105" s="35">
        <v>12477.0943</v>
      </c>
      <c r="D105" s="36">
        <f t="shared" si="54"/>
        <v>0.695796392130401</v>
      </c>
      <c r="E105" s="35">
        <v>13721.3293</v>
      </c>
      <c r="F105" s="36">
        <f t="shared" si="55"/>
        <v>0.596851205097959</v>
      </c>
      <c r="G105" s="35">
        <v>18862.214</v>
      </c>
      <c r="H105" s="36">
        <f t="shared" si="56"/>
        <v>0.594526529815541</v>
      </c>
      <c r="I105" s="35">
        <f>中口径明细!AB105</f>
        <v>22278.7557</v>
      </c>
      <c r="J105" s="36">
        <f t="shared" si="57"/>
        <v>0.579840843844377</v>
      </c>
      <c r="K105" s="35">
        <f>中口径明细!AD105</f>
        <v>19639.6472</v>
      </c>
      <c r="L105" s="36">
        <f t="shared" si="58"/>
        <v>0.499652714204078</v>
      </c>
      <c r="M105" s="35">
        <f>中口径明细!AF105</f>
        <v>18002.1549</v>
      </c>
      <c r="N105" s="36">
        <f t="shared" si="59"/>
        <v>0.61426558936543</v>
      </c>
      <c r="O105" s="35">
        <f>中口径明细!AH105</f>
        <v>18986.7293</v>
      </c>
      <c r="P105" s="36">
        <f t="shared" si="60"/>
        <v>0.614652434368805</v>
      </c>
      <c r="Q105" s="35">
        <f>中口径明细!AJ105</f>
        <v>17983.9839</v>
      </c>
      <c r="R105" s="36">
        <f t="shared" si="61"/>
        <v>0.724806072074727</v>
      </c>
      <c r="S105" s="35">
        <f>中口径明细!AL105</f>
        <v>19399.7794</v>
      </c>
      <c r="T105" s="36">
        <f t="shared" si="62"/>
        <v>0.789828873622603</v>
      </c>
      <c r="U105" s="35">
        <f>中口径明细!AN105</f>
        <v>21001.8897</v>
      </c>
      <c r="V105" s="36">
        <f t="shared" si="63"/>
        <v>0.0562325799542138</v>
      </c>
      <c r="W105" s="35">
        <f>中口径明细!AP105</f>
        <v>20735.7868</v>
      </c>
      <c r="X105" s="36">
        <f t="shared" si="64"/>
        <v>0.134339670434614</v>
      </c>
      <c r="Y105" s="35">
        <f t="shared" si="65"/>
        <v>161351.688</v>
      </c>
      <c r="Z105" s="36">
        <f t="shared" si="66"/>
        <v>0.627278947294278</v>
      </c>
      <c r="AA105" s="37"/>
      <c r="AB105" s="38"/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67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341</v>
      </c>
      <c r="C106" s="35">
        <v>520.329999999998</v>
      </c>
      <c r="D106" s="36">
        <f t="shared" si="54"/>
        <v>-0.21837163887637</v>
      </c>
      <c r="E106" s="35">
        <v>480.529999999999</v>
      </c>
      <c r="F106" s="36">
        <f t="shared" si="55"/>
        <v>0.0956745787445539</v>
      </c>
      <c r="G106" s="35">
        <f>公交!Z10-公交!Z12</f>
        <v>616.169999999998</v>
      </c>
      <c r="H106" s="36">
        <f t="shared" si="56"/>
        <v>-0.14863072374057</v>
      </c>
      <c r="I106" s="35">
        <f>公交!AB10-公交!AB12</f>
        <v>609.549999999999</v>
      </c>
      <c r="J106" s="36">
        <f t="shared" si="57"/>
        <v>-0.134850119223347</v>
      </c>
      <c r="K106" s="35">
        <f>公交!AD10-公交!AD12</f>
        <v>568.459999999999</v>
      </c>
      <c r="L106" s="36">
        <f t="shared" si="58"/>
        <v>-0.16391875395273</v>
      </c>
      <c r="M106" s="35">
        <f>公交!AF10-公交!AF12</f>
        <v>549.530000000002</v>
      </c>
      <c r="N106" s="36">
        <f t="shared" si="59"/>
        <v>-0.117702780810477</v>
      </c>
      <c r="O106" s="35">
        <f>公交!AH10-公交!AH12</f>
        <v>491.509999999998</v>
      </c>
      <c r="P106" s="36">
        <f t="shared" si="60"/>
        <v>-0.143143544506818</v>
      </c>
      <c r="Q106" s="35">
        <f>公交!AJ10-公交!AJ12</f>
        <v>469.030000000002</v>
      </c>
      <c r="R106" s="36">
        <f t="shared" si="61"/>
        <v>-0.0983660130718854</v>
      </c>
      <c r="S106" s="35">
        <f>公交!AL10-公交!AL12</f>
        <v>573.610000000001</v>
      </c>
      <c r="T106" s="36">
        <f t="shared" si="62"/>
        <v>-0.0668759760541344</v>
      </c>
      <c r="U106" s="35">
        <f>公交!AN10-公交!AN12</f>
        <v>605.02</v>
      </c>
      <c r="V106" s="36">
        <f t="shared" si="63"/>
        <v>-0.0722401975066329</v>
      </c>
      <c r="W106" s="35">
        <f>公交!AP10-公交!AP12</f>
        <v>650.329999999998</v>
      </c>
      <c r="X106" s="36">
        <f t="shared" si="64"/>
        <v>0.0159818778315828</v>
      </c>
      <c r="Y106" s="35">
        <f t="shared" si="65"/>
        <v>4878.72</v>
      </c>
      <c r="Z106" s="36">
        <f t="shared" si="66"/>
        <v>-0.119977777216595</v>
      </c>
      <c r="AA106" s="37"/>
      <c r="AB106" s="38"/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67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303</v>
      </c>
      <c r="C107" s="35">
        <v>0</v>
      </c>
      <c r="D107" s="36"/>
      <c r="E107" s="35">
        <v>0</v>
      </c>
      <c r="F107" s="36" t="e">
        <f t="shared" si="55"/>
        <v>#DIV/0!</v>
      </c>
      <c r="G107" s="35">
        <v>0</v>
      </c>
      <c r="H107" s="36" t="e">
        <f t="shared" si="56"/>
        <v>#DIV/0!</v>
      </c>
      <c r="I107" s="35">
        <v>0</v>
      </c>
      <c r="J107" s="36" t="e">
        <f t="shared" si="57"/>
        <v>#DIV/0!</v>
      </c>
      <c r="K107" s="35">
        <v>0</v>
      </c>
      <c r="L107" s="36" t="e">
        <f t="shared" si="58"/>
        <v>#DIV/0!</v>
      </c>
      <c r="M107" s="35">
        <v>0</v>
      </c>
      <c r="N107" s="36" t="e">
        <f t="shared" si="59"/>
        <v>#DIV/0!</v>
      </c>
      <c r="O107" s="35">
        <v>0</v>
      </c>
      <c r="P107" s="36" t="e">
        <f t="shared" si="60"/>
        <v>#DIV/0!</v>
      </c>
      <c r="Q107" s="35">
        <v>0</v>
      </c>
      <c r="R107" s="36" t="e">
        <f t="shared" si="61"/>
        <v>#DIV/0!</v>
      </c>
      <c r="S107" s="35">
        <v>0</v>
      </c>
      <c r="T107" s="36" t="e">
        <f t="shared" si="62"/>
        <v>#DIV/0!</v>
      </c>
      <c r="U107" s="35">
        <v>0</v>
      </c>
      <c r="V107" s="36" t="e">
        <f t="shared" si="63"/>
        <v>#DIV/0!</v>
      </c>
      <c r="W107" s="35">
        <v>0</v>
      </c>
      <c r="X107" s="36" t="e">
        <f t="shared" si="64"/>
        <v>#DIV/0!</v>
      </c>
      <c r="Y107" s="35">
        <f t="shared" si="65"/>
        <v>0</v>
      </c>
      <c r="Z107" s="36" t="e">
        <f t="shared" si="66"/>
        <v>#DIV/0!</v>
      </c>
      <c r="AA107" s="37"/>
      <c r="AB107" s="38"/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67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304</v>
      </c>
      <c r="C108" s="35">
        <v>0</v>
      </c>
      <c r="D108" s="36" t="e">
        <f t="shared" ref="D108:D139" si="69">C108/AC108-1</f>
        <v>#DIV/0!</v>
      </c>
      <c r="E108" s="35">
        <v>0</v>
      </c>
      <c r="F108" s="36" t="e">
        <f t="shared" si="55"/>
        <v>#DIV/0!</v>
      </c>
      <c r="G108" s="35">
        <v>0</v>
      </c>
      <c r="H108" s="36" t="e">
        <f t="shared" si="56"/>
        <v>#DIV/0!</v>
      </c>
      <c r="I108" s="35">
        <v>0</v>
      </c>
      <c r="J108" s="36" t="e">
        <f t="shared" si="57"/>
        <v>#DIV/0!</v>
      </c>
      <c r="K108" s="35">
        <v>0</v>
      </c>
      <c r="L108" s="36" t="e">
        <f t="shared" si="58"/>
        <v>#DIV/0!</v>
      </c>
      <c r="M108" s="35">
        <v>0</v>
      </c>
      <c r="N108" s="36" t="e">
        <f t="shared" si="59"/>
        <v>#DIV/0!</v>
      </c>
      <c r="O108" s="35">
        <v>0</v>
      </c>
      <c r="P108" s="36" t="e">
        <f t="shared" si="60"/>
        <v>#DIV/0!</v>
      </c>
      <c r="Q108" s="35">
        <v>0</v>
      </c>
      <c r="R108" s="36" t="e">
        <f t="shared" si="61"/>
        <v>#DIV/0!</v>
      </c>
      <c r="S108" s="35">
        <v>0</v>
      </c>
      <c r="T108" s="36" t="e">
        <f t="shared" si="62"/>
        <v>#DIV/0!</v>
      </c>
      <c r="U108" s="35">
        <v>0</v>
      </c>
      <c r="V108" s="36" t="e">
        <f t="shared" si="63"/>
        <v>#DIV/0!</v>
      </c>
      <c r="W108" s="35">
        <v>0</v>
      </c>
      <c r="X108" s="36" t="e">
        <f t="shared" si="64"/>
        <v>#DIV/0!</v>
      </c>
      <c r="Y108" s="35">
        <f t="shared" si="65"/>
        <v>0</v>
      </c>
      <c r="Z108" s="36" t="e">
        <f t="shared" si="66"/>
        <v>#DIV/0!</v>
      </c>
      <c r="AA108" s="37"/>
      <c r="AB108" s="38"/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67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340</v>
      </c>
      <c r="C109" s="35">
        <f>C110+C111+C112+C113</f>
        <v>6593.52069735726</v>
      </c>
      <c r="D109" s="36">
        <f t="shared" si="69"/>
        <v>-0.0401694238312024</v>
      </c>
      <c r="E109" s="35">
        <f>E110+E111+E112+E113</f>
        <v>6662.43814685368</v>
      </c>
      <c r="F109" s="36">
        <f t="shared" si="55"/>
        <v>0.092515161691455</v>
      </c>
      <c r="G109" s="35">
        <f>G110+G111+G112+G113</f>
        <v>6907.20902059857</v>
      </c>
      <c r="H109" s="36">
        <f t="shared" si="56"/>
        <v>-0.0343909442453764</v>
      </c>
      <c r="I109" s="35">
        <f>I110+I111+I112+I113</f>
        <v>7577.04035721584</v>
      </c>
      <c r="J109" s="36">
        <f t="shared" si="57"/>
        <v>-0.0155721123275397</v>
      </c>
      <c r="K109" s="35">
        <f>K110+K111+K112+K113</f>
        <v>7099.61599442263</v>
      </c>
      <c r="L109" s="36">
        <f t="shared" si="58"/>
        <v>-0.0491669294331525</v>
      </c>
      <c r="M109" s="35">
        <f>M110+M111+M112+M113</f>
        <v>6621.22629845452</v>
      </c>
      <c r="N109" s="36">
        <f t="shared" si="59"/>
        <v>-0.04567811083635</v>
      </c>
      <c r="O109" s="35">
        <f>O110+O111+O112+O113</f>
        <v>6277.06497434539</v>
      </c>
      <c r="P109" s="36">
        <f t="shared" si="60"/>
        <v>-0.119774919837574</v>
      </c>
      <c r="Q109" s="35">
        <f>Q110+Q111+Q112+Q113</f>
        <v>6422.01079311262</v>
      </c>
      <c r="R109" s="36">
        <f t="shared" si="61"/>
        <v>-0.0351631134483372</v>
      </c>
      <c r="S109" s="35">
        <f>S110+S111+S112+S113</f>
        <v>6338.61675919145</v>
      </c>
      <c r="T109" s="36">
        <f t="shared" si="62"/>
        <v>-0.0639758452972889</v>
      </c>
      <c r="U109" s="35">
        <f>U110+U111+U112+U113</f>
        <v>6004.18467298235</v>
      </c>
      <c r="V109" s="36">
        <f t="shared" si="63"/>
        <v>-0.160658111716242</v>
      </c>
      <c r="W109" s="35">
        <f>W110+W111+W112+W113</f>
        <v>5943.71140618388</v>
      </c>
      <c r="X109" s="36">
        <f t="shared" si="64"/>
        <v>-0.154173317258319</v>
      </c>
      <c r="Y109" s="35">
        <f t="shared" si="65"/>
        <v>60498.7430415519</v>
      </c>
      <c r="Z109" s="36">
        <f t="shared" si="66"/>
        <v>-0.0363653611661712</v>
      </c>
      <c r="AA109" s="37"/>
      <c r="AB109" s="38"/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67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301</v>
      </c>
      <c r="C110" s="35">
        <v>2561.9574</v>
      </c>
      <c r="D110" s="36">
        <f t="shared" si="69"/>
        <v>0.0222229865303722</v>
      </c>
      <c r="E110" s="35">
        <v>2556.8962</v>
      </c>
      <c r="F110" s="36">
        <f t="shared" si="55"/>
        <v>0.0334251638451573</v>
      </c>
      <c r="G110" s="35">
        <v>2785.6986</v>
      </c>
      <c r="H110" s="36">
        <f t="shared" si="56"/>
        <v>0.000791954227890912</v>
      </c>
      <c r="I110" s="35">
        <f>中口径明细!AB110</f>
        <v>3102.1665</v>
      </c>
      <c r="J110" s="36">
        <f t="shared" si="57"/>
        <v>-0.00726405618007842</v>
      </c>
      <c r="K110" s="35">
        <f>中口径明细!AD110</f>
        <v>2702.052</v>
      </c>
      <c r="L110" s="36">
        <f t="shared" si="58"/>
        <v>-0.0872530757999774</v>
      </c>
      <c r="M110" s="35">
        <f>中口径明细!AF110</f>
        <v>2487.3006</v>
      </c>
      <c r="N110" s="36">
        <f t="shared" si="59"/>
        <v>-0.0323817664402862</v>
      </c>
      <c r="O110" s="35">
        <f>中口径明细!AH110</f>
        <v>2434.3376</v>
      </c>
      <c r="P110" s="36">
        <f t="shared" si="60"/>
        <v>-0.12995961020591</v>
      </c>
      <c r="Q110" s="35">
        <f>中口径明细!AJ110</f>
        <v>2571.1196</v>
      </c>
      <c r="R110" s="36">
        <f t="shared" si="61"/>
        <v>-0.039412875811763</v>
      </c>
      <c r="S110" s="35">
        <f>中口径明细!AL110</f>
        <v>2439.2523</v>
      </c>
      <c r="T110" s="36">
        <f t="shared" si="62"/>
        <v>-0.0614232807516671</v>
      </c>
      <c r="U110" s="35">
        <f>中口径明细!AN110</f>
        <v>2622.7803</v>
      </c>
      <c r="V110" s="36">
        <f t="shared" si="63"/>
        <v>-0.0975133360198009</v>
      </c>
      <c r="W110" s="35">
        <f>中口径明细!AP110</f>
        <v>2698.1026</v>
      </c>
      <c r="X110" s="36">
        <f t="shared" si="64"/>
        <v>-0.0119243162807403</v>
      </c>
      <c r="Y110" s="35">
        <f t="shared" si="65"/>
        <v>23640.7808</v>
      </c>
      <c r="Z110" s="36">
        <f t="shared" si="66"/>
        <v>-0.0348008493488328</v>
      </c>
      <c r="AA110" s="37"/>
      <c r="AB110" s="38"/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67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341</v>
      </c>
      <c r="C111" s="35">
        <v>3689.76</v>
      </c>
      <c r="D111" s="36">
        <f t="shared" si="69"/>
        <v>-0.0511462847003459</v>
      </c>
      <c r="E111" s="35">
        <v>3710.12</v>
      </c>
      <c r="F111" s="36">
        <f t="shared" si="55"/>
        <v>0.156031109006157</v>
      </c>
      <c r="G111" s="35">
        <f>公交!Z14-公交!Z16</f>
        <v>3707.62</v>
      </c>
      <c r="H111" s="36">
        <f t="shared" si="56"/>
        <v>-0.0529028896064087</v>
      </c>
      <c r="I111" s="35">
        <f>公交!AB14-公交!AB16</f>
        <v>4016.97</v>
      </c>
      <c r="J111" s="36">
        <f t="shared" si="57"/>
        <v>-0.0159743078453181</v>
      </c>
      <c r="K111" s="35">
        <f>公交!AD14-公交!AD16</f>
        <v>3931.01</v>
      </c>
      <c r="L111" s="36">
        <f t="shared" si="58"/>
        <v>-0.0292723882900572</v>
      </c>
      <c r="M111" s="35">
        <f>公交!AF14-公交!AF16</f>
        <v>3706.03</v>
      </c>
      <c r="N111" s="36">
        <f t="shared" si="59"/>
        <v>-0.0274827068616236</v>
      </c>
      <c r="O111" s="35">
        <f>公交!AH14-公交!AH16</f>
        <v>3373.33</v>
      </c>
      <c r="P111" s="36">
        <f t="shared" si="60"/>
        <v>-0.0916867716433664</v>
      </c>
      <c r="Q111" s="35">
        <f>公交!AJ14-公交!AJ16</f>
        <v>3322.38</v>
      </c>
      <c r="R111" s="36">
        <f t="shared" si="61"/>
        <v>-0.0663118195563099</v>
      </c>
      <c r="S111" s="35">
        <f>公交!AL14-公交!AL16</f>
        <v>3456.76</v>
      </c>
      <c r="T111" s="36">
        <f t="shared" si="62"/>
        <v>-0.043463582957693</v>
      </c>
      <c r="U111" s="35">
        <f>公交!AN14-公交!AN16</f>
        <v>2925.45</v>
      </c>
      <c r="V111" s="36">
        <f t="shared" si="63"/>
        <v>-0.229812340062553</v>
      </c>
      <c r="W111" s="35">
        <f>公交!AP14-公交!AP16</f>
        <v>2844.5</v>
      </c>
      <c r="X111" s="36">
        <f t="shared" si="64"/>
        <v>-0.259217783981708</v>
      </c>
      <c r="Y111" s="35">
        <f t="shared" si="65"/>
        <v>32913.98</v>
      </c>
      <c r="Z111" s="36">
        <f t="shared" si="66"/>
        <v>-0.0274000088058265</v>
      </c>
      <c r="AA111" s="37"/>
      <c r="AB111" s="38"/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67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303</v>
      </c>
      <c r="C112" s="35">
        <v>255.89</v>
      </c>
      <c r="D112" s="36">
        <f t="shared" si="69"/>
        <v>-0.163894788433263</v>
      </c>
      <c r="E112" s="35">
        <v>300.68</v>
      </c>
      <c r="F112" s="36">
        <f t="shared" si="55"/>
        <v>0.0621732372474213</v>
      </c>
      <c r="G112" s="35">
        <f>出租!Z14-出租!Z16</f>
        <v>264.09</v>
      </c>
      <c r="H112" s="36">
        <f t="shared" si="56"/>
        <v>-0.0832118308685693</v>
      </c>
      <c r="I112" s="35">
        <f>出租!AB14-出租!AB16</f>
        <v>282.42</v>
      </c>
      <c r="J112" s="36">
        <f t="shared" si="57"/>
        <v>-0.0765155974102418</v>
      </c>
      <c r="K112" s="35">
        <f>出租!AD14-出租!AD16</f>
        <v>269.65</v>
      </c>
      <c r="L112" s="36">
        <f t="shared" si="58"/>
        <v>0.00189492457457119</v>
      </c>
      <c r="M112" s="35">
        <f>出租!AF14-出租!AF16</f>
        <v>245.63</v>
      </c>
      <c r="N112" s="36">
        <f t="shared" si="59"/>
        <v>-0.284878304413649</v>
      </c>
      <c r="O112" s="35">
        <f>出租!AH14-出租!AH16</f>
        <v>267.58</v>
      </c>
      <c r="P112" s="36">
        <f t="shared" si="60"/>
        <v>-0.29511867442902</v>
      </c>
      <c r="Q112" s="35">
        <f>出租!AJ14-出租!AJ16</f>
        <v>312.99</v>
      </c>
      <c r="R112" s="36">
        <f t="shared" si="61"/>
        <v>0.274129859556279</v>
      </c>
      <c r="S112" s="35">
        <f>出租!AL14-出租!AL16</f>
        <v>253.77</v>
      </c>
      <c r="T112" s="36">
        <f t="shared" si="62"/>
        <v>-0.2331842630084</v>
      </c>
      <c r="U112" s="35">
        <f>出租!AN14-出租!AN16</f>
        <v>250.41</v>
      </c>
      <c r="V112" s="36">
        <f t="shared" si="63"/>
        <v>0.0164806170083218</v>
      </c>
      <c r="W112" s="35">
        <f>出租!AP14-出租!AP16</f>
        <v>247.6</v>
      </c>
      <c r="X112" s="36">
        <f t="shared" si="64"/>
        <v>-0.0649193700668459</v>
      </c>
      <c r="Y112" s="35">
        <f t="shared" si="65"/>
        <v>2452.7</v>
      </c>
      <c r="Z112" s="36">
        <f t="shared" si="66"/>
        <v>-0.108702209075416</v>
      </c>
      <c r="AA112" s="37"/>
      <c r="AB112" s="38"/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67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304</v>
      </c>
      <c r="C113" s="35">
        <v>85.9132973572588</v>
      </c>
      <c r="D113" s="36">
        <f t="shared" si="69"/>
        <v>-0.490135670727412</v>
      </c>
      <c r="E113" s="35">
        <v>94.7419468536754</v>
      </c>
      <c r="F113" s="36">
        <f t="shared" si="55"/>
        <v>-0.280191920372078</v>
      </c>
      <c r="G113" s="35">
        <v>149.800420598566</v>
      </c>
      <c r="H113" s="36">
        <f t="shared" si="56"/>
        <v>-0.102672502087325</v>
      </c>
      <c r="I113" s="35">
        <f>网约车!AB14-网约车!AB16</f>
        <v>175.483857215845</v>
      </c>
      <c r="J113" s="36">
        <f t="shared" si="57"/>
        <v>-0.0464471814833068</v>
      </c>
      <c r="K113" s="35">
        <f>网约车!AD14-网约车!AD16</f>
        <v>196.903994422626</v>
      </c>
      <c r="L113" s="36">
        <f t="shared" si="58"/>
        <v>0.0490887949931984</v>
      </c>
      <c r="M113" s="35">
        <f>网约车!AF14-网约车!AF16</f>
        <v>182.265698454519</v>
      </c>
      <c r="N113" s="36">
        <f t="shared" si="59"/>
        <v>-0.145770680530577</v>
      </c>
      <c r="O113" s="35">
        <f>网约车!AH14-网约车!AH16</f>
        <v>201.817374345388</v>
      </c>
      <c r="P113" s="36">
        <f t="shared" si="60"/>
        <v>-0.158375775526459</v>
      </c>
      <c r="Q113" s="35">
        <f>网约车!AJ14-网约车!AJ16</f>
        <v>215.521193112617</v>
      </c>
      <c r="R113" s="36">
        <f t="shared" si="61"/>
        <v>0.228349407230009</v>
      </c>
      <c r="S113" s="35">
        <f>网约车!AL14-网约车!AL16</f>
        <v>188.834459191452</v>
      </c>
      <c r="T113" s="36">
        <f t="shared" si="62"/>
        <v>-0.172495116980353</v>
      </c>
      <c r="U113" s="35">
        <f>网约车!AN14-网约车!AN16</f>
        <v>205.544372982355</v>
      </c>
      <c r="V113" s="36">
        <f t="shared" si="63"/>
        <v>0.0147198614053619</v>
      </c>
      <c r="W113" s="35">
        <f>网约车!AP14-网约车!AP16</f>
        <v>153.508806183882</v>
      </c>
      <c r="X113" s="36">
        <f t="shared" si="64"/>
        <v>-0.199596693530201</v>
      </c>
      <c r="Y113" s="35">
        <f t="shared" si="65"/>
        <v>1491.28224155195</v>
      </c>
      <c r="Z113" s="36">
        <f t="shared" si="66"/>
        <v>-0.120500429658369</v>
      </c>
      <c r="AA113" s="37"/>
      <c r="AB113" s="38"/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67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340</v>
      </c>
      <c r="C114" s="35">
        <f>C115+C116+C117+C118</f>
        <v>8994.60017156061</v>
      </c>
      <c r="D114" s="36">
        <f t="shared" si="69"/>
        <v>-0.172424880385483</v>
      </c>
      <c r="E114" s="35">
        <f>E115+E116+E117+E118</f>
        <v>10166.1117495593</v>
      </c>
      <c r="F114" s="36">
        <f t="shared" si="55"/>
        <v>-0.109703024264236</v>
      </c>
      <c r="G114" s="35">
        <f>G115+G116+G117+G118</f>
        <v>9144.72109690457</v>
      </c>
      <c r="H114" s="36">
        <f t="shared" si="56"/>
        <v>-0.164371596684484</v>
      </c>
      <c r="I114" s="35">
        <f>I115+I116+I117+I118</f>
        <v>9916.63368717299</v>
      </c>
      <c r="J114" s="36">
        <f t="shared" si="57"/>
        <v>-0.167363777146609</v>
      </c>
      <c r="K114" s="35">
        <f>K115+K116+K117+K118</f>
        <v>9556.65702114866</v>
      </c>
      <c r="L114" s="36">
        <f t="shared" si="58"/>
        <v>-0.157890611626031</v>
      </c>
      <c r="M114" s="35">
        <f>M115+M116+M117+M118</f>
        <v>9896.42076065429</v>
      </c>
      <c r="N114" s="36">
        <f t="shared" si="59"/>
        <v>0.0142977697796005</v>
      </c>
      <c r="O114" s="35">
        <f>O115+O116+O117+O118</f>
        <v>8441.93330845846</v>
      </c>
      <c r="P114" s="36">
        <f t="shared" si="60"/>
        <v>-0.189787960377901</v>
      </c>
      <c r="Q114" s="35">
        <f>Q115+Q116+Q117+Q118</f>
        <v>8648.23980555564</v>
      </c>
      <c r="R114" s="36">
        <f t="shared" si="61"/>
        <v>-0.137738683514279</v>
      </c>
      <c r="S114" s="35">
        <f>S115+S116+S117+S118</f>
        <v>8023.7989827078</v>
      </c>
      <c r="T114" s="36">
        <f t="shared" si="62"/>
        <v>-0.271417945105127</v>
      </c>
      <c r="U114" s="35">
        <f>U115+U116+U117+U118</f>
        <v>8295.35182384744</v>
      </c>
      <c r="V114" s="36">
        <f t="shared" si="63"/>
        <v>-0.232575287312523</v>
      </c>
      <c r="W114" s="35">
        <f>W115+W116+W117+W118</f>
        <v>7566.1203759958</v>
      </c>
      <c r="X114" s="36">
        <f t="shared" si="64"/>
        <v>-0.131433126759332</v>
      </c>
      <c r="Y114" s="35">
        <f t="shared" si="65"/>
        <v>82789.1165837224</v>
      </c>
      <c r="Z114" s="36">
        <f t="shared" si="66"/>
        <v>-0.152690882070014</v>
      </c>
      <c r="AA114" s="37"/>
      <c r="AB114" s="38"/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67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301</v>
      </c>
      <c r="C115" s="35">
        <v>5320.1229</v>
      </c>
      <c r="D115" s="36">
        <f t="shared" si="69"/>
        <v>-0.0166716694496187</v>
      </c>
      <c r="E115" s="35">
        <v>6744.4994</v>
      </c>
      <c r="F115" s="36">
        <f t="shared" si="55"/>
        <v>-0.013559120692855</v>
      </c>
      <c r="G115" s="35">
        <v>5182.7868</v>
      </c>
      <c r="H115" s="36">
        <f t="shared" si="56"/>
        <v>-0.1095356725612</v>
      </c>
      <c r="I115" s="35">
        <f>中口径明细!AB115</f>
        <v>6288.2648</v>
      </c>
      <c r="J115" s="36">
        <f t="shared" si="57"/>
        <v>-0.0262724567878209</v>
      </c>
      <c r="K115" s="35">
        <f>中口径明细!AD115</f>
        <v>6041.1196</v>
      </c>
      <c r="L115" s="36">
        <f t="shared" si="58"/>
        <v>-0.0204254836559501</v>
      </c>
      <c r="M115" s="35">
        <f>中口径明细!AF115</f>
        <v>6335.3697</v>
      </c>
      <c r="N115" s="36">
        <f t="shared" si="59"/>
        <v>0.125103337863379</v>
      </c>
      <c r="O115" s="35">
        <f>中口径明细!AH115</f>
        <v>5145.913</v>
      </c>
      <c r="P115" s="36">
        <f t="shared" si="60"/>
        <v>-0.161088227491939</v>
      </c>
      <c r="Q115" s="35">
        <f>中口径明细!AJ115</f>
        <v>6061.8412</v>
      </c>
      <c r="R115" s="36">
        <f t="shared" si="61"/>
        <v>-0.045287956853571</v>
      </c>
      <c r="S115" s="35">
        <f>中口径明细!AL115</f>
        <v>5254.1807</v>
      </c>
      <c r="T115" s="36">
        <f t="shared" si="62"/>
        <v>-0.0739933037249321</v>
      </c>
      <c r="U115" s="35">
        <f>中口径明细!AN115</f>
        <v>5743.0441</v>
      </c>
      <c r="V115" s="36">
        <f t="shared" si="63"/>
        <v>-0.190949885301862</v>
      </c>
      <c r="W115" s="35">
        <f>中口径明细!AP115</f>
        <v>4862.8408</v>
      </c>
      <c r="X115" s="36">
        <f t="shared" si="64"/>
        <v>-0.0547961713851564</v>
      </c>
      <c r="Y115" s="35">
        <f t="shared" si="65"/>
        <v>52374.0981</v>
      </c>
      <c r="Z115" s="36">
        <f t="shared" si="66"/>
        <v>-0.0386763191307886</v>
      </c>
      <c r="AA115" s="37"/>
      <c r="AB115" s="38"/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67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341</v>
      </c>
      <c r="C116" s="35">
        <v>2646.92</v>
      </c>
      <c r="D116" s="36">
        <f t="shared" si="69"/>
        <v>-0.365408313474273</v>
      </c>
      <c r="E116" s="35">
        <v>2419.38</v>
      </c>
      <c r="F116" s="36">
        <f t="shared" si="55"/>
        <v>-0.29316590901123</v>
      </c>
      <c r="G116" s="35">
        <f>公交!Z18-公交!Z20</f>
        <v>2949.21</v>
      </c>
      <c r="H116" s="36">
        <f t="shared" si="56"/>
        <v>-0.266040684681277</v>
      </c>
      <c r="I116" s="35">
        <f>公交!AB18-公交!AB20</f>
        <v>2649</v>
      </c>
      <c r="J116" s="36">
        <f t="shared" si="57"/>
        <v>-0.381990229426504</v>
      </c>
      <c r="K116" s="35">
        <f>公交!AD18-公交!AD20</f>
        <v>2487.12</v>
      </c>
      <c r="L116" s="36">
        <f t="shared" si="58"/>
        <v>-0.383631713554987</v>
      </c>
      <c r="M116" s="35">
        <f>公交!AF18-公交!AF20</f>
        <v>2534.71</v>
      </c>
      <c r="N116" s="36">
        <f t="shared" si="59"/>
        <v>-0.172188220539919</v>
      </c>
      <c r="O116" s="35">
        <f>公交!AH18-公交!AH20</f>
        <v>2570.68</v>
      </c>
      <c r="P116" s="36">
        <f t="shared" si="60"/>
        <v>-0.15822219020456</v>
      </c>
      <c r="Q116" s="35">
        <f>公交!AJ18-公交!AJ20</f>
        <v>2182.9</v>
      </c>
      <c r="R116" s="36">
        <f t="shared" si="61"/>
        <v>-0.119059533802544</v>
      </c>
      <c r="S116" s="35">
        <f>公交!AL18-公交!AL20</f>
        <v>2341.65</v>
      </c>
      <c r="T116" s="36">
        <f t="shared" si="62"/>
        <v>-0.446121204523468</v>
      </c>
      <c r="U116" s="35">
        <f>公交!AN18-公交!AN20</f>
        <v>2162.9</v>
      </c>
      <c r="V116" s="36">
        <f t="shared" si="63"/>
        <v>-0.170409521362079</v>
      </c>
      <c r="W116" s="35">
        <f>公交!AP18-公交!AP20</f>
        <v>2386.54</v>
      </c>
      <c r="X116" s="36">
        <f t="shared" si="64"/>
        <v>-0.0697998924236637</v>
      </c>
      <c r="Y116" s="35">
        <f t="shared" si="65"/>
        <v>22781.57</v>
      </c>
      <c r="Z116" s="36">
        <f t="shared" si="66"/>
        <v>-0.304486576722239</v>
      </c>
      <c r="AA116" s="37"/>
      <c r="AB116" s="38"/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67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303</v>
      </c>
      <c r="C117" s="35">
        <v>725.59</v>
      </c>
      <c r="D117" s="36">
        <f t="shared" si="69"/>
        <v>-0.123609483893566</v>
      </c>
      <c r="E117" s="35">
        <v>698.62</v>
      </c>
      <c r="F117" s="36">
        <f t="shared" si="55"/>
        <v>-0.0998324958123953</v>
      </c>
      <c r="G117" s="35">
        <f>出租!Z18-出租!Z20</f>
        <v>666.99</v>
      </c>
      <c r="H117" s="36">
        <f t="shared" si="56"/>
        <v>-0.00650917540514806</v>
      </c>
      <c r="I117" s="35">
        <f>出租!AB18-出租!AB20</f>
        <v>612.53</v>
      </c>
      <c r="J117" s="36">
        <f t="shared" si="57"/>
        <v>-0.131150796465198</v>
      </c>
      <c r="K117" s="35">
        <f>出租!AD18-出租!AD20</f>
        <v>622.85</v>
      </c>
      <c r="L117" s="36">
        <f t="shared" si="58"/>
        <v>-0.0952076584494252</v>
      </c>
      <c r="M117" s="35">
        <f>出租!AF18-出租!AF20</f>
        <v>624.73</v>
      </c>
      <c r="N117" s="36">
        <f t="shared" si="59"/>
        <v>-0.00132681117718514</v>
      </c>
      <c r="O117" s="35">
        <f>出租!AH18-出租!AH20</f>
        <v>403.7</v>
      </c>
      <c r="P117" s="36">
        <f t="shared" si="60"/>
        <v>-0.440881957813387</v>
      </c>
      <c r="Q117" s="35">
        <f>出租!AJ18-出租!AJ20</f>
        <v>139.99</v>
      </c>
      <c r="R117" s="36">
        <f t="shared" si="61"/>
        <v>-0.803249427274388</v>
      </c>
      <c r="S117" s="35">
        <f>出租!AL18-出租!AL20</f>
        <v>137.21</v>
      </c>
      <c r="T117" s="36">
        <f t="shared" si="62"/>
        <v>-0.79193582628211</v>
      </c>
      <c r="U117" s="35">
        <f>出租!AN18-出租!AN20</f>
        <v>147.52</v>
      </c>
      <c r="V117" s="36">
        <f t="shared" si="63"/>
        <v>-0.787789861326889</v>
      </c>
      <c r="W117" s="35">
        <f>出租!AP18-出租!AP20</f>
        <v>133.75</v>
      </c>
      <c r="X117" s="36">
        <f t="shared" si="64"/>
        <v>-0.78435419118714</v>
      </c>
      <c r="Y117" s="35">
        <f t="shared" si="65"/>
        <v>4632.21</v>
      </c>
      <c r="Z117" s="36">
        <f t="shared" si="66"/>
        <v>-0.274781481464086</v>
      </c>
      <c r="AA117" s="37"/>
      <c r="AB117" s="38"/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67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304</v>
      </c>
      <c r="C118" s="35">
        <v>301.967271560606</v>
      </c>
      <c r="D118" s="36">
        <f t="shared" si="69"/>
        <v>-0.34256155930751</v>
      </c>
      <c r="E118" s="35">
        <v>303.612349559345</v>
      </c>
      <c r="F118" s="36">
        <f t="shared" si="55"/>
        <v>-0.206535428994567</v>
      </c>
      <c r="G118" s="35">
        <v>345.734296904574</v>
      </c>
      <c r="H118" s="36">
        <f t="shared" si="56"/>
        <v>-0.2026910820988</v>
      </c>
      <c r="I118" s="35">
        <f>网约车!AB18-网约车!AB20</f>
        <v>366.838887172987</v>
      </c>
      <c r="J118" s="36">
        <f t="shared" si="57"/>
        <v>-0.203671846469486</v>
      </c>
      <c r="K118" s="35">
        <f>网约车!AD18-网约车!AD20</f>
        <v>405.567421148659</v>
      </c>
      <c r="L118" s="36">
        <f t="shared" si="58"/>
        <v>-0.114248223244265</v>
      </c>
      <c r="M118" s="35">
        <f>网约车!AF18-网约车!AF20</f>
        <v>401.61106065429</v>
      </c>
      <c r="N118" s="36">
        <f t="shared" si="59"/>
        <v>-0.0841171120524387</v>
      </c>
      <c r="O118" s="35">
        <f>网约车!AH18-网约车!AH20</f>
        <v>321.640308458459</v>
      </c>
      <c r="P118" s="36">
        <f t="shared" si="60"/>
        <v>-0.368687454358611</v>
      </c>
      <c r="Q118" s="35">
        <f>网约车!AJ18-网约车!AJ20</f>
        <v>263.508605555641</v>
      </c>
      <c r="R118" s="36">
        <f t="shared" si="61"/>
        <v>-0.463211161976475</v>
      </c>
      <c r="S118" s="35">
        <f>网约车!AL18-网约车!AL20</f>
        <v>290.758282707798</v>
      </c>
      <c r="T118" s="36">
        <f t="shared" si="62"/>
        <v>-0.356283137243813</v>
      </c>
      <c r="U118" s="35">
        <f>网约车!AN18-网约车!AN20</f>
        <v>241.887723847439</v>
      </c>
      <c r="V118" s="36">
        <f t="shared" si="63"/>
        <v>-0.407840432383802</v>
      </c>
      <c r="W118" s="35">
        <f>网约车!AP18-网约车!AP20</f>
        <v>182.989575995803</v>
      </c>
      <c r="X118" s="36">
        <f t="shared" si="64"/>
        <v>-0.519000292240073</v>
      </c>
      <c r="Y118" s="35">
        <f t="shared" si="65"/>
        <v>3001.23848372236</v>
      </c>
      <c r="Z118" s="36">
        <f t="shared" si="66"/>
        <v>-0.265244860673197</v>
      </c>
      <c r="AA118" s="37"/>
      <c r="AB118" s="38"/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67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340</v>
      </c>
      <c r="C119" s="35">
        <f>C120+C121+C122+C123</f>
        <v>17363.957272257</v>
      </c>
      <c r="D119" s="36">
        <f t="shared" si="69"/>
        <v>0.228112798994774</v>
      </c>
      <c r="E119" s="35">
        <f>E120+E121+E122+E123</f>
        <v>17817.3017637472</v>
      </c>
      <c r="F119" s="36">
        <f t="shared" si="55"/>
        <v>0.130048219255153</v>
      </c>
      <c r="G119" s="35">
        <f>G120+G121+G122+G123</f>
        <v>18477.8808268384</v>
      </c>
      <c r="H119" s="36">
        <f t="shared" si="56"/>
        <v>0.0956676136653904</v>
      </c>
      <c r="I119" s="35">
        <f>I120+I121+I122+I123</f>
        <v>20521.3424910293</v>
      </c>
      <c r="J119" s="36">
        <f t="shared" si="57"/>
        <v>0.011229782409752</v>
      </c>
      <c r="K119" s="35">
        <f>K120+K121+K122+K123</f>
        <v>19893.0035833225</v>
      </c>
      <c r="L119" s="36">
        <f t="shared" si="58"/>
        <v>-0.00105992020729118</v>
      </c>
      <c r="M119" s="35">
        <f>M120+M121+M122+M123</f>
        <v>18316.7475835902</v>
      </c>
      <c r="N119" s="36">
        <f t="shared" si="59"/>
        <v>-0.00640592394193118</v>
      </c>
      <c r="O119" s="35">
        <f>O120+O121+O122+O123</f>
        <v>19327.0411288015</v>
      </c>
      <c r="P119" s="36">
        <f t="shared" si="60"/>
        <v>-0.0291419173947897</v>
      </c>
      <c r="Q119" s="35">
        <f>Q120+Q121+Q122+Q123</f>
        <v>20614.2638419072</v>
      </c>
      <c r="R119" s="36">
        <f t="shared" si="61"/>
        <v>-0.0109881868270284</v>
      </c>
      <c r="S119" s="35">
        <f>S120+S121+S122+S123</f>
        <v>19156.3166314263</v>
      </c>
      <c r="T119" s="36">
        <f t="shared" si="62"/>
        <v>-0.0227013264878552</v>
      </c>
      <c r="U119" s="35">
        <f>U120+U121+U122+U123</f>
        <v>20495.4296989046</v>
      </c>
      <c r="V119" s="36">
        <f t="shared" si="63"/>
        <v>-0.0269621533658477</v>
      </c>
      <c r="W119" s="35">
        <f>W120+W121+W122+W123</f>
        <v>18948.5058402456</v>
      </c>
      <c r="X119" s="36">
        <f t="shared" si="64"/>
        <v>-0.0630109243350667</v>
      </c>
      <c r="Y119" s="35">
        <f t="shared" si="65"/>
        <v>171487.85512292</v>
      </c>
      <c r="Z119" s="36">
        <f t="shared" si="66"/>
        <v>0.034528650104571</v>
      </c>
      <c r="AA119" s="37"/>
      <c r="AB119" s="38"/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67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301</v>
      </c>
      <c r="C120" s="35">
        <v>15716.3557</v>
      </c>
      <c r="D120" s="36">
        <f t="shared" si="69"/>
        <v>0.204049567720287</v>
      </c>
      <c r="E120" s="35">
        <v>16022.2753</v>
      </c>
      <c r="F120" s="36">
        <f t="shared" si="55"/>
        <v>0.0856026479088883</v>
      </c>
      <c r="G120" s="35">
        <v>16622.2817</v>
      </c>
      <c r="H120" s="36">
        <f t="shared" si="56"/>
        <v>0.0497034495921773</v>
      </c>
      <c r="I120" s="35">
        <f>中口径明细!AB120</f>
        <v>18599.003</v>
      </c>
      <c r="J120" s="36">
        <f t="shared" si="57"/>
        <v>-0.0348345532640676</v>
      </c>
      <c r="K120" s="35">
        <f>中口径明细!AD120</f>
        <v>17867.628</v>
      </c>
      <c r="L120" s="36">
        <f t="shared" si="58"/>
        <v>-0.0511938617188323</v>
      </c>
      <c r="M120" s="35">
        <f>中口径明细!AF120</f>
        <v>16444.6674</v>
      </c>
      <c r="N120" s="36">
        <f t="shared" si="59"/>
        <v>-0.0570810741644616</v>
      </c>
      <c r="O120" s="35">
        <f>中口径明细!AH120</f>
        <v>17393.9704</v>
      </c>
      <c r="P120" s="36">
        <f t="shared" si="60"/>
        <v>-0.0793936033571653</v>
      </c>
      <c r="Q120" s="35">
        <f>中口径明细!AJ120</f>
        <v>18710.6664</v>
      </c>
      <c r="R120" s="36">
        <f t="shared" si="61"/>
        <v>-0.0599832607620372</v>
      </c>
      <c r="S120" s="35">
        <f>中口径明细!AL120</f>
        <v>17273.6802</v>
      </c>
      <c r="T120" s="36">
        <f t="shared" si="62"/>
        <v>-0.0736724800899176</v>
      </c>
      <c r="U120" s="35">
        <f>中口径明细!AN120</f>
        <v>18570.5124</v>
      </c>
      <c r="V120" s="36">
        <f t="shared" si="63"/>
        <v>-0.0754711137526032</v>
      </c>
      <c r="W120" s="35">
        <f>中口径明细!AP120</f>
        <v>17276.7181</v>
      </c>
      <c r="X120" s="36">
        <f t="shared" si="64"/>
        <v>-0.0874487270473198</v>
      </c>
      <c r="Y120" s="35">
        <f t="shared" si="65"/>
        <v>154650.5281</v>
      </c>
      <c r="Z120" s="36">
        <f t="shared" si="66"/>
        <v>-0.0126711721084178</v>
      </c>
      <c r="AA120" s="37"/>
      <c r="AB120" s="38"/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67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341</v>
      </c>
      <c r="C121" s="35">
        <v>803.75</v>
      </c>
      <c r="D121" s="36">
        <f t="shared" si="69"/>
        <v>1.91594108257147</v>
      </c>
      <c r="E121" s="35">
        <v>839.04</v>
      </c>
      <c r="F121" s="36">
        <f t="shared" si="55"/>
        <v>1.88310081781321</v>
      </c>
      <c r="G121" s="35">
        <f>公交!Z22-公交!Z24</f>
        <v>869.39</v>
      </c>
      <c r="H121" s="36">
        <f t="shared" si="56"/>
        <v>2.0989876666429</v>
      </c>
      <c r="I121" s="35">
        <f>公交!AB22-公交!AB24</f>
        <v>831.98</v>
      </c>
      <c r="J121" s="36">
        <f t="shared" si="57"/>
        <v>1.95867709815078</v>
      </c>
      <c r="K121" s="35">
        <f>公交!AD22-公交!AD24</f>
        <v>852.32</v>
      </c>
      <c r="L121" s="36">
        <f t="shared" si="58"/>
        <v>1.71872408293461</v>
      </c>
      <c r="M121" s="35">
        <f>公交!AF22-公交!AF24</f>
        <v>860.94</v>
      </c>
      <c r="N121" s="36">
        <f t="shared" si="59"/>
        <v>1.7721286666452</v>
      </c>
      <c r="O121" s="35">
        <f>公交!AH22-公交!AH24</f>
        <v>793.31</v>
      </c>
      <c r="P121" s="36">
        <f t="shared" si="60"/>
        <v>1.9862977602108</v>
      </c>
      <c r="Q121" s="35">
        <f>公交!AJ22-公交!AJ24</f>
        <v>847.27</v>
      </c>
      <c r="R121" s="36">
        <f t="shared" si="61"/>
        <v>1.99918584070796</v>
      </c>
      <c r="S121" s="35">
        <f>公交!AL22-公交!AL24</f>
        <v>935.68</v>
      </c>
      <c r="T121" s="36">
        <f t="shared" si="62"/>
        <v>2.37024096819508</v>
      </c>
      <c r="U121" s="35">
        <f>公交!AN22-公交!AN24</f>
        <v>959.04</v>
      </c>
      <c r="V121" s="36">
        <f t="shared" si="63"/>
        <v>2.1768914800583</v>
      </c>
      <c r="W121" s="35">
        <f>公交!AP22-公交!AP24</f>
        <v>887.24</v>
      </c>
      <c r="X121" s="36">
        <f t="shared" si="64"/>
        <v>0.318394579253161</v>
      </c>
      <c r="Y121" s="35">
        <f t="shared" si="65"/>
        <v>7633.68</v>
      </c>
      <c r="Z121" s="36">
        <f t="shared" si="66"/>
        <v>1.96079899156405</v>
      </c>
      <c r="AA121" s="37"/>
      <c r="AB121" s="38"/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67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303</v>
      </c>
      <c r="C122" s="35">
        <v>413.23</v>
      </c>
      <c r="D122" s="36">
        <f t="shared" si="69"/>
        <v>-0.0463849721920937</v>
      </c>
      <c r="E122" s="35">
        <v>572.13</v>
      </c>
      <c r="F122" s="36">
        <f t="shared" si="55"/>
        <v>0.256075874333136</v>
      </c>
      <c r="G122" s="35">
        <f>出租!Z22-出租!Z24</f>
        <v>569.22</v>
      </c>
      <c r="H122" s="36">
        <f t="shared" si="56"/>
        <v>0.521165152324959</v>
      </c>
      <c r="I122" s="35">
        <f>出租!AB22-出租!AB24</f>
        <v>583.42</v>
      </c>
      <c r="J122" s="36">
        <f t="shared" si="57"/>
        <v>0.630074599759716</v>
      </c>
      <c r="K122" s="35">
        <f>出租!AD22-出租!AD24</f>
        <v>606.29</v>
      </c>
      <c r="L122" s="36">
        <f t="shared" si="58"/>
        <v>0.650397430313589</v>
      </c>
      <c r="M122" s="35">
        <f>出租!AF22-出租!AF24</f>
        <v>537.12</v>
      </c>
      <c r="N122" s="36">
        <f t="shared" si="59"/>
        <v>0.612730821198019</v>
      </c>
      <c r="O122" s="35">
        <f>出租!AH22-出租!AH24</f>
        <v>606.73</v>
      </c>
      <c r="P122" s="36">
        <f t="shared" si="60"/>
        <v>0.710785281263217</v>
      </c>
      <c r="Q122" s="35">
        <f>出租!AJ22-出租!AJ24</f>
        <v>556.51</v>
      </c>
      <c r="R122" s="36">
        <f t="shared" si="61"/>
        <v>0.658155056313689</v>
      </c>
      <c r="S122" s="35">
        <f>出租!AL22-出租!AL24</f>
        <v>531</v>
      </c>
      <c r="T122" s="36">
        <f t="shared" si="62"/>
        <v>0.638838307459646</v>
      </c>
      <c r="U122" s="35">
        <f>出租!AN22-出租!AN24</f>
        <v>572.89</v>
      </c>
      <c r="V122" s="36">
        <f t="shared" si="63"/>
        <v>0.765617776681973</v>
      </c>
      <c r="W122" s="35">
        <f>出租!AP22-出租!AP24</f>
        <v>467.55</v>
      </c>
      <c r="X122" s="36">
        <f t="shared" si="64"/>
        <v>0.546182082740831</v>
      </c>
      <c r="Y122" s="35">
        <f t="shared" si="65"/>
        <v>4975.65</v>
      </c>
      <c r="Z122" s="36">
        <f t="shared" si="66"/>
        <v>0.491671713204742</v>
      </c>
      <c r="AA122" s="37"/>
      <c r="AB122" s="38"/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67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304</v>
      </c>
      <c r="C123" s="35">
        <v>430.621572257048</v>
      </c>
      <c r="D123" s="36">
        <f t="shared" si="69"/>
        <v>0.14269474007079</v>
      </c>
      <c r="E123" s="35">
        <v>383.856463747216</v>
      </c>
      <c r="F123" s="36">
        <f t="shared" si="55"/>
        <v>0.468101744244775</v>
      </c>
      <c r="G123" s="35">
        <v>416.989126838351</v>
      </c>
      <c r="H123" s="36">
        <f t="shared" si="56"/>
        <v>0.113342497484703</v>
      </c>
      <c r="I123" s="35">
        <f>网约车!AB22-网约车!AB24</f>
        <v>506.939491029285</v>
      </c>
      <c r="J123" s="36">
        <f t="shared" si="57"/>
        <v>0.319924463897136</v>
      </c>
      <c r="K123" s="35">
        <f>网约车!AD22-网约车!AD24</f>
        <v>566.765583322519</v>
      </c>
      <c r="L123" s="36">
        <f t="shared" si="58"/>
        <v>0.411424392746126</v>
      </c>
      <c r="M123" s="35">
        <f>网约车!AF22-网约车!AF24</f>
        <v>474.020183590187</v>
      </c>
      <c r="N123" s="36">
        <f t="shared" si="59"/>
        <v>0.350297639164661</v>
      </c>
      <c r="O123" s="35">
        <f>网约车!AH22-网约车!AH24</f>
        <v>533.030728801534</v>
      </c>
      <c r="P123" s="36">
        <f t="shared" si="60"/>
        <v>0.356870366250459</v>
      </c>
      <c r="Q123" s="35">
        <f>网约车!AJ22-网约车!AJ24</f>
        <v>499.817441907214</v>
      </c>
      <c r="R123" s="36">
        <f t="shared" si="61"/>
        <v>0.55918121125827</v>
      </c>
      <c r="S123" s="35">
        <f>网约车!AL22-网约车!AL24</f>
        <v>415.956431426305</v>
      </c>
      <c r="T123" s="36">
        <f t="shared" si="62"/>
        <v>0.181140211812064</v>
      </c>
      <c r="U123" s="35">
        <f>网约车!AN22-网约车!AN24</f>
        <v>392.987298904636</v>
      </c>
      <c r="V123" s="36">
        <f t="shared" si="63"/>
        <v>0.12111395077565</v>
      </c>
      <c r="W123" s="35">
        <f>网约车!AP22-网约车!AP24</f>
        <v>316.997740245592</v>
      </c>
      <c r="X123" s="36">
        <f t="shared" si="64"/>
        <v>0.0061031755794807</v>
      </c>
      <c r="Y123" s="35">
        <f t="shared" si="65"/>
        <v>4227.99702291966</v>
      </c>
      <c r="Z123" s="36">
        <f t="shared" si="66"/>
        <v>0.315048210185213</v>
      </c>
      <c r="AA123" s="37"/>
      <c r="AB123" s="38"/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67"/>
        <v>4149.65308123603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340</v>
      </c>
      <c r="C124" s="35">
        <f>C125+C126+C127+C128</f>
        <v>17460.891963256</v>
      </c>
      <c r="D124" s="36">
        <f t="shared" si="69"/>
        <v>0.309485047733627</v>
      </c>
      <c r="E124" s="35">
        <f>E125+E126+E127+E128</f>
        <v>18059.0016734109</v>
      </c>
      <c r="F124" s="36">
        <f t="shared" si="55"/>
        <v>0.158189974003496</v>
      </c>
      <c r="G124" s="35">
        <f>G125+G126+G127+G128</f>
        <v>18399.063548039</v>
      </c>
      <c r="H124" s="36">
        <f t="shared" si="56"/>
        <v>0.258084736824553</v>
      </c>
      <c r="I124" s="35">
        <f>I125+I126+I127+I128</f>
        <v>19440.8828701527</v>
      </c>
      <c r="J124" s="36">
        <f t="shared" si="57"/>
        <v>0.256490113062189</v>
      </c>
      <c r="K124" s="35">
        <f>K125+K126+K127+K128</f>
        <v>19177.487334949</v>
      </c>
      <c r="L124" s="36">
        <f t="shared" si="58"/>
        <v>0.301576071235619</v>
      </c>
      <c r="M124" s="35">
        <f>M125+M126+M127+M128</f>
        <v>17403.0169884589</v>
      </c>
      <c r="N124" s="36">
        <f t="shared" si="59"/>
        <v>0.304078139400023</v>
      </c>
      <c r="O124" s="35">
        <f>O125+O126+O127+O128</f>
        <v>18092.1154930959</v>
      </c>
      <c r="P124" s="36">
        <f t="shared" si="60"/>
        <v>0.244502515473122</v>
      </c>
      <c r="Q124" s="35">
        <f>Q125+Q126+Q127+Q128</f>
        <v>18092.1180689147</v>
      </c>
      <c r="R124" s="36">
        <f t="shared" si="61"/>
        <v>0.206166213397647</v>
      </c>
      <c r="S124" s="35">
        <f>S125+S126+S127+S128</f>
        <v>16866.6276334791</v>
      </c>
      <c r="T124" s="36">
        <f t="shared" si="62"/>
        <v>0.312796489935008</v>
      </c>
      <c r="U124" s="35">
        <f>U125+U126+U127+U128</f>
        <v>18560.8077434245</v>
      </c>
      <c r="V124" s="36">
        <f t="shared" si="63"/>
        <v>0.273557846716389</v>
      </c>
      <c r="W124" s="35">
        <f>W125+W126+W127+W128</f>
        <v>17122.4408658356</v>
      </c>
      <c r="X124" s="36">
        <f t="shared" si="64"/>
        <v>0.190603132139119</v>
      </c>
      <c r="Y124" s="35">
        <f t="shared" si="65"/>
        <v>162991.205573756</v>
      </c>
      <c r="Z124" s="36">
        <f t="shared" si="66"/>
        <v>0.258736596412381</v>
      </c>
      <c r="AA124" s="37"/>
      <c r="AB124" s="38"/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67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301</v>
      </c>
      <c r="C125" s="35">
        <v>15253.4011</v>
      </c>
      <c r="D125" s="36">
        <f t="shared" si="69"/>
        <v>0.366097192953212</v>
      </c>
      <c r="E125" s="35">
        <v>15922.813</v>
      </c>
      <c r="F125" s="36">
        <f t="shared" si="55"/>
        <v>0.169993199419713</v>
      </c>
      <c r="G125" s="35">
        <v>14136.3268</v>
      </c>
      <c r="H125" s="36">
        <f t="shared" si="56"/>
        <v>0.116004554797501</v>
      </c>
      <c r="I125" s="35">
        <f>中口径明细!AB125</f>
        <v>15340.245864</v>
      </c>
      <c r="J125" s="36">
        <f t="shared" si="57"/>
        <v>0.137657196749319</v>
      </c>
      <c r="K125" s="35">
        <f>中口径明细!AD125</f>
        <v>14524.2484</v>
      </c>
      <c r="L125" s="36">
        <f t="shared" si="58"/>
        <v>0.13551530336932</v>
      </c>
      <c r="M125" s="35">
        <f>中口径明细!AF125</f>
        <v>13081.581</v>
      </c>
      <c r="N125" s="36">
        <f t="shared" si="59"/>
        <v>0.149055578608552</v>
      </c>
      <c r="O125" s="35">
        <f>中口径明细!AH125</f>
        <v>13740.179</v>
      </c>
      <c r="P125" s="36">
        <f t="shared" si="60"/>
        <v>0.0949947163383904</v>
      </c>
      <c r="Q125" s="35">
        <f>中口径明细!AJ125</f>
        <v>13762.2386</v>
      </c>
      <c r="R125" s="36">
        <f t="shared" si="61"/>
        <v>0.0529207717802074</v>
      </c>
      <c r="S125" s="35">
        <f>中口径明细!AL125</f>
        <v>12615.6868</v>
      </c>
      <c r="T125" s="36">
        <f t="shared" si="62"/>
        <v>0.151832946973992</v>
      </c>
      <c r="U125" s="35">
        <f>中口径明细!AN125</f>
        <v>14007.3104</v>
      </c>
      <c r="V125" s="36">
        <f t="shared" si="63"/>
        <v>0.113111329159723</v>
      </c>
      <c r="W125" s="35">
        <f>中口径明细!AP125</f>
        <v>12472.8922</v>
      </c>
      <c r="X125" s="36">
        <f t="shared" si="64"/>
        <v>-0.00174460439928115</v>
      </c>
      <c r="Y125" s="35">
        <f t="shared" si="65"/>
        <v>128376.720564</v>
      </c>
      <c r="Z125" s="36">
        <f t="shared" si="66"/>
        <v>0.149578015110311</v>
      </c>
      <c r="AA125" s="37"/>
      <c r="AB125" s="38"/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67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341</v>
      </c>
      <c r="C126" s="35">
        <v>1025.3</v>
      </c>
      <c r="D126" s="36">
        <f t="shared" si="69"/>
        <v>-0.0800111263649986</v>
      </c>
      <c r="E126" s="35">
        <v>1022.67</v>
      </c>
      <c r="F126" s="36">
        <f t="shared" si="55"/>
        <v>-0.0234057182146337</v>
      </c>
      <c r="G126" s="35">
        <f>公交!Z26-公交!Z28</f>
        <v>3144.69</v>
      </c>
      <c r="H126" s="36">
        <f t="shared" si="56"/>
        <v>2.22621649072051</v>
      </c>
      <c r="I126" s="35">
        <f>公交!AB26-公交!AB28</f>
        <v>2953.46</v>
      </c>
      <c r="J126" s="36">
        <f t="shared" si="57"/>
        <v>1.94977278401998</v>
      </c>
      <c r="K126" s="35">
        <f>公交!AD26-公交!AD28</f>
        <v>3402.47</v>
      </c>
      <c r="L126" s="36">
        <f t="shared" si="58"/>
        <v>2.4762357220213</v>
      </c>
      <c r="M126" s="35">
        <f>公交!AF26-公交!AF28</f>
        <v>3148.61</v>
      </c>
      <c r="N126" s="36">
        <f t="shared" si="59"/>
        <v>2.1597956766955</v>
      </c>
      <c r="O126" s="35">
        <f>公交!AH26-公交!AH28</f>
        <v>3109.53</v>
      </c>
      <c r="P126" s="36">
        <f t="shared" si="60"/>
        <v>2.14764801749182</v>
      </c>
      <c r="Q126" s="35">
        <f>公交!AJ26-公交!AJ28</f>
        <v>3104.48</v>
      </c>
      <c r="R126" s="36">
        <f t="shared" si="61"/>
        <v>2.28120574122223</v>
      </c>
      <c r="S126" s="35">
        <f>公交!AL26-公交!AL28</f>
        <v>3017.04</v>
      </c>
      <c r="T126" s="36">
        <f t="shared" si="62"/>
        <v>2.1957122731943</v>
      </c>
      <c r="U126" s="35">
        <f>公交!AN26-公交!AN28</f>
        <v>3256.3</v>
      </c>
      <c r="V126" s="36">
        <f t="shared" si="63"/>
        <v>2.28017970827625</v>
      </c>
      <c r="W126" s="35">
        <f>公交!AP26-公交!AP28</f>
        <v>3458.13</v>
      </c>
      <c r="X126" s="36">
        <f t="shared" si="64"/>
        <v>2.66564199323716</v>
      </c>
      <c r="Y126" s="35">
        <f t="shared" si="65"/>
        <v>23928.25</v>
      </c>
      <c r="Z126" s="36">
        <f t="shared" si="66"/>
        <v>1.66135876027</v>
      </c>
      <c r="AA126" s="37"/>
      <c r="AB126" s="38"/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67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303</v>
      </c>
      <c r="C127" s="35">
        <v>571.97</v>
      </c>
      <c r="D127" s="36">
        <f t="shared" si="69"/>
        <v>-0.101918728802914</v>
      </c>
      <c r="E127" s="35">
        <v>549.69</v>
      </c>
      <c r="F127" s="36">
        <f t="shared" si="55"/>
        <v>-0.116197183098592</v>
      </c>
      <c r="G127" s="35">
        <f>出租!Z26-出租!Z28</f>
        <v>556.58</v>
      </c>
      <c r="H127" s="36">
        <f t="shared" si="56"/>
        <v>-0.08443684097975</v>
      </c>
      <c r="I127" s="35">
        <f>出租!AB26-出租!AB28</f>
        <v>532.8</v>
      </c>
      <c r="J127" s="36">
        <f t="shared" si="57"/>
        <v>-0.0871554131615464</v>
      </c>
      <c r="K127" s="35">
        <f>出租!AD26-出租!AD28</f>
        <v>560.94</v>
      </c>
      <c r="L127" s="36">
        <f t="shared" si="58"/>
        <v>-0.0134543344061629</v>
      </c>
      <c r="M127" s="35">
        <f>出租!AF26-出租!AF28</f>
        <v>552.21</v>
      </c>
      <c r="N127" s="36">
        <f t="shared" si="59"/>
        <v>-0.0329241169156407</v>
      </c>
      <c r="O127" s="35">
        <f>出租!AH26-出租!AH28</f>
        <v>541.39</v>
      </c>
      <c r="P127" s="36">
        <f t="shared" si="60"/>
        <v>-0.0693448850841458</v>
      </c>
      <c r="Q127" s="35">
        <f>出租!AJ26-出租!AJ28</f>
        <v>531.26</v>
      </c>
      <c r="R127" s="36">
        <f t="shared" si="61"/>
        <v>-0.0720997659552171</v>
      </c>
      <c r="S127" s="35">
        <f>出租!AL26-出租!AL28</f>
        <v>533.21</v>
      </c>
      <c r="T127" s="36">
        <f t="shared" si="62"/>
        <v>-0.0396246465301422</v>
      </c>
      <c r="U127" s="35">
        <f>出租!AN26-出租!AN28</f>
        <v>540.62</v>
      </c>
      <c r="V127" s="36">
        <f t="shared" si="63"/>
        <v>-0.0396148653449869</v>
      </c>
      <c r="W127" s="35">
        <f>出租!AP26-出租!AP28</f>
        <v>531.87</v>
      </c>
      <c r="X127" s="36">
        <f t="shared" si="64"/>
        <v>-0.00879628766842455</v>
      </c>
      <c r="Y127" s="35">
        <f t="shared" si="65"/>
        <v>4930.05</v>
      </c>
      <c r="Z127" s="36">
        <f t="shared" si="66"/>
        <v>-0.0697141239739598</v>
      </c>
      <c r="AA127" s="37"/>
      <c r="AB127" s="38"/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67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304</v>
      </c>
      <c r="C128" s="35">
        <v>610.220863255992</v>
      </c>
      <c r="D128" s="36">
        <f t="shared" si="69"/>
        <v>0.462871988908541</v>
      </c>
      <c r="E128" s="35">
        <v>563.828673410855</v>
      </c>
      <c r="F128" s="36">
        <f t="shared" si="55"/>
        <v>0.795782377894203</v>
      </c>
      <c r="G128" s="35">
        <v>561.466748038953</v>
      </c>
      <c r="H128" s="36">
        <f t="shared" si="56"/>
        <v>0.496790410520194</v>
      </c>
      <c r="I128" s="35">
        <f>网约车!AB26-网约车!AB28</f>
        <v>614.377006152712</v>
      </c>
      <c r="J128" s="36">
        <f t="shared" si="57"/>
        <v>0.523052391963276</v>
      </c>
      <c r="K128" s="35">
        <f>网约车!AD26-网约车!AD28</f>
        <v>689.828934949045</v>
      </c>
      <c r="L128" s="36">
        <f t="shared" si="58"/>
        <v>0.742903707714395</v>
      </c>
      <c r="M128" s="35">
        <f>网约车!AF26-网约车!AF28</f>
        <v>620.61598845894</v>
      </c>
      <c r="N128" s="36">
        <f t="shared" si="59"/>
        <v>0.579316400231729</v>
      </c>
      <c r="O128" s="35">
        <f>网约车!AH26-网约车!AH28</f>
        <v>701.016493095866</v>
      </c>
      <c r="P128" s="36">
        <f t="shared" si="60"/>
        <v>0.669725035088986</v>
      </c>
      <c r="Q128" s="35">
        <f>网约车!AJ26-网约车!AJ28</f>
        <v>694.139468914751</v>
      </c>
      <c r="R128" s="36">
        <f t="shared" si="61"/>
        <v>0.691071235348746</v>
      </c>
      <c r="S128" s="35">
        <f>网约车!AL26-网约车!AL28</f>
        <v>700.690833479127</v>
      </c>
      <c r="T128" s="36">
        <f t="shared" si="62"/>
        <v>0.770063451425075</v>
      </c>
      <c r="U128" s="35">
        <f>网约车!AN26-网约车!AN28</f>
        <v>756.57734342451</v>
      </c>
      <c r="V128" s="36">
        <f t="shared" si="63"/>
        <v>0.741600075803298</v>
      </c>
      <c r="W128" s="35">
        <f>网约车!AP26-网约车!AP28</f>
        <v>659.54866583563</v>
      </c>
      <c r="X128" s="36">
        <f t="shared" si="64"/>
        <v>0.621922046482481</v>
      </c>
      <c r="Y128" s="35">
        <f t="shared" si="65"/>
        <v>5756.18500975624</v>
      </c>
      <c r="Z128" s="36">
        <f t="shared" si="66"/>
        <v>0.633173956722392</v>
      </c>
      <c r="AA128" s="37"/>
      <c r="AB128" s="38"/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67"/>
        <v>4766.47228298922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340</v>
      </c>
      <c r="C129" s="35">
        <f>C130+C131+C132+C133</f>
        <v>2799.40806457131</v>
      </c>
      <c r="D129" s="36">
        <f t="shared" si="69"/>
        <v>0.0772923911725365</v>
      </c>
      <c r="E129" s="35">
        <f>E130+E131+E132+E133</f>
        <v>2579.64456535909</v>
      </c>
      <c r="F129" s="36">
        <f t="shared" si="55"/>
        <v>0.043006139723452</v>
      </c>
      <c r="G129" s="35">
        <f>G130+G131+G132+G133</f>
        <v>2691.4455458808</v>
      </c>
      <c r="H129" s="36">
        <f t="shared" si="56"/>
        <v>0.0150115913579452</v>
      </c>
      <c r="I129" s="35">
        <f>I130+I131+I132+I133</f>
        <v>2795.04984285032</v>
      </c>
      <c r="J129" s="36">
        <f t="shared" si="57"/>
        <v>-0.00132285590168224</v>
      </c>
      <c r="K129" s="35">
        <f>K130+K131+K132+K133</f>
        <v>2781.46231944499</v>
      </c>
      <c r="L129" s="36">
        <f t="shared" si="58"/>
        <v>-0.0239247480242535</v>
      </c>
      <c r="M129" s="35">
        <f>M130+M131+M132+M133</f>
        <v>2874.03449762089</v>
      </c>
      <c r="N129" s="36">
        <f t="shared" si="59"/>
        <v>-0.0762454802868689</v>
      </c>
      <c r="O129" s="35">
        <f>O130+O131+O132+O133</f>
        <v>2593.99710294249</v>
      </c>
      <c r="P129" s="36">
        <f t="shared" si="60"/>
        <v>-0.116750754872921</v>
      </c>
      <c r="Q129" s="35">
        <f>Q130+Q131+Q132+Q133</f>
        <v>2549.56348894389</v>
      </c>
      <c r="R129" s="36">
        <f t="shared" si="61"/>
        <v>-0.123128723979828</v>
      </c>
      <c r="S129" s="35">
        <f>S130+S131+S132+S133</f>
        <v>2580.52282878808</v>
      </c>
      <c r="T129" s="36">
        <f t="shared" si="62"/>
        <v>-0.112085719887699</v>
      </c>
      <c r="U129" s="35">
        <f>U130+U131+U132+U133</f>
        <v>2590.6398458613</v>
      </c>
      <c r="V129" s="36">
        <f t="shared" si="63"/>
        <v>-0.15209103180247</v>
      </c>
      <c r="W129" s="35">
        <f>W130+W131+W132+W133</f>
        <v>2817.9382692674</v>
      </c>
      <c r="X129" s="36">
        <f t="shared" si="64"/>
        <v>-0.140315858300871</v>
      </c>
      <c r="Y129" s="35">
        <f t="shared" si="65"/>
        <v>24245.1282564019</v>
      </c>
      <c r="Z129" s="36">
        <f t="shared" si="66"/>
        <v>-0.0391822153865783</v>
      </c>
      <c r="AA129" s="37"/>
      <c r="AB129" s="38"/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67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301</v>
      </c>
      <c r="C130" s="35">
        <v>2279.1988</v>
      </c>
      <c r="D130" s="36">
        <f t="shared" si="69"/>
        <v>0.147362454366242</v>
      </c>
      <c r="E130" s="35">
        <v>2077.1294</v>
      </c>
      <c r="F130" s="36">
        <f t="shared" si="55"/>
        <v>0.114477681627351</v>
      </c>
      <c r="G130" s="35">
        <v>2185.5626</v>
      </c>
      <c r="H130" s="36">
        <f t="shared" si="56"/>
        <v>0.0643295882309314</v>
      </c>
      <c r="I130" s="35">
        <f>中口径明细!AB130</f>
        <v>2269.1796</v>
      </c>
      <c r="J130" s="36">
        <f t="shared" si="57"/>
        <v>0.0616915623536283</v>
      </c>
      <c r="K130" s="35">
        <f>中口径明细!AD130</f>
        <v>2229.5816</v>
      </c>
      <c r="L130" s="36">
        <f t="shared" si="58"/>
        <v>0.0112998358211744</v>
      </c>
      <c r="M130" s="35">
        <f>中口径明细!AF130</f>
        <v>2324.301</v>
      </c>
      <c r="N130" s="36">
        <f t="shared" si="59"/>
        <v>-0.0720794688957723</v>
      </c>
      <c r="O130" s="35">
        <f>中口径明细!AH130</f>
        <v>2217.5578</v>
      </c>
      <c r="P130" s="36">
        <f t="shared" si="60"/>
        <v>-0.0565924283464996</v>
      </c>
      <c r="Q130" s="35">
        <f>中口径明细!AJ130</f>
        <v>2185.8589</v>
      </c>
      <c r="R130" s="36">
        <f t="shared" si="61"/>
        <v>-0.0700957786600006</v>
      </c>
      <c r="S130" s="35">
        <f>中口径明细!AL130</f>
        <v>2215.595</v>
      </c>
      <c r="T130" s="36">
        <f t="shared" si="62"/>
        <v>-0.0513909146969619</v>
      </c>
      <c r="U130" s="35">
        <f>中口径明细!AN130</f>
        <v>2222.7273</v>
      </c>
      <c r="V130" s="36">
        <f t="shared" si="63"/>
        <v>-0.0873269968618756</v>
      </c>
      <c r="W130" s="35">
        <f>中口径明细!AP130</f>
        <v>2449.5953</v>
      </c>
      <c r="X130" s="36">
        <f t="shared" si="64"/>
        <v>-0.0968519389589312</v>
      </c>
      <c r="Y130" s="35">
        <f t="shared" si="65"/>
        <v>19983.9647</v>
      </c>
      <c r="Z130" s="36">
        <f t="shared" si="66"/>
        <v>0.0099348268963646</v>
      </c>
      <c r="AA130" s="37"/>
      <c r="AB130" s="38"/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67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341</v>
      </c>
      <c r="C131" s="35">
        <v>251.49</v>
      </c>
      <c r="D131" s="36">
        <f t="shared" si="69"/>
        <v>-0.195721001631008</v>
      </c>
      <c r="E131" s="35">
        <v>218</v>
      </c>
      <c r="F131" s="36">
        <f t="shared" ref="F131:F162" si="70">E131/AE131-1</f>
        <v>-0.352270026146898</v>
      </c>
      <c r="G131" s="35">
        <f>公交!Z30-公交!Z32</f>
        <v>203.61</v>
      </c>
      <c r="H131" s="36">
        <f t="shared" ref="H131:H162" si="71">G131/AG131-1</f>
        <v>-0.348864726574992</v>
      </c>
      <c r="I131" s="35">
        <f>公交!AB30-公交!AB32</f>
        <v>226.66</v>
      </c>
      <c r="J131" s="36">
        <f t="shared" ref="J131:J162" si="72">I131/AI131-1</f>
        <v>-0.385328813559322</v>
      </c>
      <c r="K131" s="35">
        <f>公交!AD30-公交!AD32</f>
        <v>232.5</v>
      </c>
      <c r="L131" s="36">
        <f t="shared" ref="L131:L162" si="73">K131/AK131-1</f>
        <v>-0.322315494928297</v>
      </c>
      <c r="M131" s="35">
        <f>公交!AF30-公交!AF32</f>
        <v>227.39</v>
      </c>
      <c r="N131" s="36">
        <f t="shared" ref="N131:N162" si="74">M131/AM131-1</f>
        <v>-0.291994893670019</v>
      </c>
      <c r="O131" s="35">
        <f>公交!AH30-公交!AH32</f>
        <v>209.81</v>
      </c>
      <c r="P131" s="36">
        <f t="shared" ref="P131:P162" si="75">O131/AO131-1</f>
        <v>-0.320585473268353</v>
      </c>
      <c r="Q131" s="35">
        <f>公交!AJ30-公交!AJ32</f>
        <v>199.41</v>
      </c>
      <c r="R131" s="36">
        <f t="shared" ref="R131:R162" si="76">Q131/AQ131-1</f>
        <v>-0.294797892279944</v>
      </c>
      <c r="S131" s="35">
        <f>公交!AL30-公交!AL32</f>
        <v>199.21</v>
      </c>
      <c r="T131" s="36">
        <f t="shared" ref="T131:T162" si="77">S131/AS131-1</f>
        <v>-0.292477624662594</v>
      </c>
      <c r="U131" s="35">
        <f>公交!AN30-公交!AN32</f>
        <v>200.55</v>
      </c>
      <c r="V131" s="36">
        <f t="shared" ref="V131:V162" si="78">U131/AU131-1</f>
        <v>-0.376806189987881</v>
      </c>
      <c r="W131" s="35">
        <f>公交!AP30-公交!AP32</f>
        <v>192.17</v>
      </c>
      <c r="X131" s="36">
        <f t="shared" ref="X131:X162" si="79">W131/AW131-1</f>
        <v>-0.337687403067379</v>
      </c>
      <c r="Y131" s="35">
        <f t="shared" ref="Y131:Y162" si="80">E131+C131+G131+I131+K131+M131+O131+Q131+S131</f>
        <v>1968.08</v>
      </c>
      <c r="Z131" s="36">
        <f t="shared" ref="Z131:Z162" si="81">Y131/SUM(AC131,AE131,AG131,AI131,AK131,AM131,AO131,AQ131,AS131)-1</f>
        <v>-0.313801170814026</v>
      </c>
      <c r="AA131" s="37"/>
      <c r="AB131" s="38"/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ref="BA131:BA162" si="82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303</v>
      </c>
      <c r="C132" s="35">
        <v>212.95</v>
      </c>
      <c r="D132" s="36">
        <f t="shared" si="69"/>
        <v>0.0231094455654848</v>
      </c>
      <c r="E132" s="35">
        <v>187.54</v>
      </c>
      <c r="F132" s="36">
        <f t="shared" si="70"/>
        <v>-0.0585341365461848</v>
      </c>
      <c r="G132" s="35">
        <f>出租!Z30-出租!Z32</f>
        <v>198.22</v>
      </c>
      <c r="H132" s="36">
        <f t="shared" si="71"/>
        <v>0.0022753703797338</v>
      </c>
      <c r="I132" s="35">
        <f>出租!AB30-出租!AB32</f>
        <v>192.24</v>
      </c>
      <c r="J132" s="36">
        <f t="shared" si="72"/>
        <v>-0.0309507006754712</v>
      </c>
      <c r="K132" s="35">
        <f>出租!AD30-出租!AD32</f>
        <v>199.12</v>
      </c>
      <c r="L132" s="36">
        <f t="shared" si="73"/>
        <v>-0.0405242615525466</v>
      </c>
      <c r="M132" s="35">
        <f>出租!AF30-出租!AF32</f>
        <v>191.65</v>
      </c>
      <c r="N132" s="36">
        <f t="shared" si="74"/>
        <v>-0.0111449357618287</v>
      </c>
      <c r="O132" s="35">
        <f>出租!AH30-出租!AH32</f>
        <v>86.17</v>
      </c>
      <c r="P132" s="36">
        <f t="shared" si="75"/>
        <v>-0.542452078797855</v>
      </c>
      <c r="Q132" s="35">
        <f>出租!AJ30-出租!AJ32</f>
        <v>85.1900000000001</v>
      </c>
      <c r="R132" s="36">
        <f t="shared" si="76"/>
        <v>-0.54760766820668</v>
      </c>
      <c r="S132" s="35">
        <f>出租!AL30-出租!AL32</f>
        <v>86.9999999999999</v>
      </c>
      <c r="T132" s="36">
        <f t="shared" si="77"/>
        <v>-0.546851398510339</v>
      </c>
      <c r="U132" s="35">
        <f>出租!AN30-出租!AN32</f>
        <v>85.48</v>
      </c>
      <c r="V132" s="36">
        <f t="shared" si="78"/>
        <v>-0.570517007486309</v>
      </c>
      <c r="W132" s="35">
        <f>出租!AP30-出租!AP32</f>
        <v>94.95</v>
      </c>
      <c r="X132" s="36">
        <f t="shared" si="79"/>
        <v>-0.491919948630137</v>
      </c>
      <c r="Y132" s="35">
        <f t="shared" si="80"/>
        <v>1440.08</v>
      </c>
      <c r="Z132" s="36">
        <f t="shared" si="81"/>
        <v>-0.187982813257699</v>
      </c>
      <c r="AA132" s="37"/>
      <c r="AB132" s="38"/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82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304</v>
      </c>
      <c r="C133" s="35">
        <v>55.7692645713145</v>
      </c>
      <c r="D133" s="36">
        <f t="shared" si="69"/>
        <v>-0.388905047578256</v>
      </c>
      <c r="E133" s="35">
        <v>96.9751653590881</v>
      </c>
      <c r="F133" s="36">
        <f t="shared" si="70"/>
        <v>0.314935173649113</v>
      </c>
      <c r="G133" s="35">
        <v>104.052945880804</v>
      </c>
      <c r="H133" s="36">
        <f t="shared" si="71"/>
        <v>0.186381995866469</v>
      </c>
      <c r="I133" s="35">
        <f>网约车!AB30-网约车!AB32</f>
        <v>106.970242850318</v>
      </c>
      <c r="J133" s="36">
        <f t="shared" si="72"/>
        <v>0.134391215762745</v>
      </c>
      <c r="K133" s="35">
        <f>网约车!AD30-网约车!AD32</f>
        <v>120.260719444992</v>
      </c>
      <c r="L133" s="36">
        <f t="shared" si="73"/>
        <v>0.274488070052147</v>
      </c>
      <c r="M133" s="35">
        <f>网约车!AF30-网约车!AF32</f>
        <v>130.693497620895</v>
      </c>
      <c r="N133" s="36">
        <f t="shared" si="74"/>
        <v>0.429526661655136</v>
      </c>
      <c r="O133" s="35">
        <f>网约车!AH30-网约车!AH32</f>
        <v>80.459302942486</v>
      </c>
      <c r="P133" s="36">
        <f t="shared" si="75"/>
        <v>-0.0975555287106907</v>
      </c>
      <c r="Q133" s="35">
        <f>网约车!AJ30-网约车!AJ32</f>
        <v>79.104588943886</v>
      </c>
      <c r="R133" s="36">
        <f t="shared" si="76"/>
        <v>-0.0786870426910901</v>
      </c>
      <c r="S133" s="35">
        <f>网约车!AL30-网约车!AL32</f>
        <v>78.717828788079</v>
      </c>
      <c r="T133" s="36">
        <f t="shared" si="77"/>
        <v>-0.189310278064883</v>
      </c>
      <c r="U133" s="35">
        <f>网约车!AN30-网约车!AN32</f>
        <v>81.882545861298</v>
      </c>
      <c r="V133" s="36">
        <f t="shared" si="78"/>
        <v>-0.173604795012606</v>
      </c>
      <c r="W133" s="35">
        <f>网约车!AP30-网约车!AP32</f>
        <v>81.222969267398</v>
      </c>
      <c r="X133" s="36">
        <f t="shared" si="79"/>
        <v>-0.0828574026639834</v>
      </c>
      <c r="Y133" s="35">
        <f t="shared" si="80"/>
        <v>853.003556401863</v>
      </c>
      <c r="Z133" s="36">
        <f t="shared" si="81"/>
        <v>0.0597426509112227</v>
      </c>
      <c r="AA133" s="37"/>
      <c r="AB133" s="38"/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82"/>
        <v>1086.45603871443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340</v>
      </c>
      <c r="C134" s="35">
        <f>C135+C136+C137+C138</f>
        <v>4491.94824058512</v>
      </c>
      <c r="D134" s="36">
        <f t="shared" si="69"/>
        <v>-0.0224430785533239</v>
      </c>
      <c r="E134" s="35">
        <f>E135+E136+E137+E138</f>
        <v>4306.10993051529</v>
      </c>
      <c r="F134" s="36">
        <f t="shared" si="70"/>
        <v>-0.0595251421709057</v>
      </c>
      <c r="G134" s="35">
        <f>G135+G136+G137+G138</f>
        <v>4692.31477996472</v>
      </c>
      <c r="H134" s="36">
        <f t="shared" si="71"/>
        <v>-0.0139498882138958</v>
      </c>
      <c r="I134" s="35">
        <f>I135+I136+I137+I138</f>
        <v>4988.97939653615</v>
      </c>
      <c r="J134" s="36">
        <f t="shared" si="72"/>
        <v>-0.0151045813318963</v>
      </c>
      <c r="K134" s="35">
        <f>K135+K136+K137+K138</f>
        <v>4242.16606996498</v>
      </c>
      <c r="L134" s="36">
        <f t="shared" si="73"/>
        <v>-0.1730778866135</v>
      </c>
      <c r="M134" s="35">
        <f>M135+M136+M137+M138</f>
        <v>4177.53196344191</v>
      </c>
      <c r="N134" s="36">
        <f t="shared" si="74"/>
        <v>-0.113701550885673</v>
      </c>
      <c r="O134" s="35">
        <f>O135+O136+O137+O138</f>
        <v>4306.92418622666</v>
      </c>
      <c r="P134" s="36">
        <f t="shared" si="75"/>
        <v>-0.124326419596681</v>
      </c>
      <c r="Q134" s="35">
        <f>Q135+Q136+Q137+Q138</f>
        <v>4297.65127836254</v>
      </c>
      <c r="R134" s="36">
        <f t="shared" si="76"/>
        <v>-0.135912873336254</v>
      </c>
      <c r="S134" s="35">
        <f>S135+S136+S137+S138</f>
        <v>4504.1587022152</v>
      </c>
      <c r="T134" s="36">
        <f t="shared" si="77"/>
        <v>-0.064631914799822</v>
      </c>
      <c r="U134" s="35">
        <f>U135+U136+U137+U138</f>
        <v>4509.96085575223</v>
      </c>
      <c r="V134" s="36">
        <f t="shared" si="78"/>
        <v>-0.218731447476412</v>
      </c>
      <c r="W134" s="35">
        <f>W135+W136+W137+W138</f>
        <v>4250.99566210144</v>
      </c>
      <c r="X134" s="36">
        <f t="shared" si="79"/>
        <v>-0.170165830220458</v>
      </c>
      <c r="Y134" s="35">
        <f t="shared" si="80"/>
        <v>40007.7845478126</v>
      </c>
      <c r="Z134" s="36">
        <f t="shared" si="81"/>
        <v>-0.0813130915918563</v>
      </c>
      <c r="AA134" s="37"/>
      <c r="AB134" s="38"/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82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301</v>
      </c>
      <c r="C135" s="35">
        <v>4097.1011</v>
      </c>
      <c r="D135" s="36">
        <f t="shared" si="69"/>
        <v>-0.02819078518468</v>
      </c>
      <c r="E135" s="35">
        <v>3949.0979</v>
      </c>
      <c r="F135" s="36">
        <f t="shared" si="70"/>
        <v>-0.0720586297782656</v>
      </c>
      <c r="G135" s="35">
        <v>4255.7056</v>
      </c>
      <c r="H135" s="36">
        <f t="shared" si="71"/>
        <v>-0.0285273636045149</v>
      </c>
      <c r="I135" s="35">
        <f>中口径明细!AB135</f>
        <v>4557.0772</v>
      </c>
      <c r="J135" s="36">
        <f t="shared" si="72"/>
        <v>-0.0373947531404016</v>
      </c>
      <c r="K135" s="35">
        <f>中口径明细!AD135</f>
        <v>3809.8095</v>
      </c>
      <c r="L135" s="36">
        <f t="shared" si="73"/>
        <v>-0.20312199783163</v>
      </c>
      <c r="M135" s="35">
        <f>中口径明细!AF135</f>
        <v>3762.2446</v>
      </c>
      <c r="N135" s="36">
        <f t="shared" si="74"/>
        <v>-0.135034877186501</v>
      </c>
      <c r="O135" s="35">
        <f>中口径明细!AH135</f>
        <v>3863.2014</v>
      </c>
      <c r="P135" s="36">
        <f t="shared" si="75"/>
        <v>-0.147066223046473</v>
      </c>
      <c r="Q135" s="35">
        <f>中口径明细!AJ135</f>
        <v>3833.8786</v>
      </c>
      <c r="R135" s="36">
        <f t="shared" si="76"/>
        <v>-0.166638459579142</v>
      </c>
      <c r="S135" s="35">
        <f>中口径明细!AL135</f>
        <v>4060.267</v>
      </c>
      <c r="T135" s="36">
        <f t="shared" si="77"/>
        <v>-0.0869129109602758</v>
      </c>
      <c r="U135" s="35">
        <f>中口径明细!AN135</f>
        <v>3956.287441</v>
      </c>
      <c r="V135" s="36">
        <f t="shared" si="78"/>
        <v>-0.264870761275633</v>
      </c>
      <c r="W135" s="35">
        <f>中口径明细!AP135</f>
        <v>3699.532092</v>
      </c>
      <c r="X135" s="36">
        <f t="shared" si="79"/>
        <v>-0.220925584181761</v>
      </c>
      <c r="Y135" s="35">
        <f t="shared" si="80"/>
        <v>36188.3829</v>
      </c>
      <c r="Z135" s="36">
        <f t="shared" si="81"/>
        <v>-0.101881779984966</v>
      </c>
      <c r="AA135" s="37"/>
      <c r="AB135" s="38"/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82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341</v>
      </c>
      <c r="C136" s="35">
        <v>2.70000000000027</v>
      </c>
      <c r="D136" s="36">
        <f t="shared" si="69"/>
        <v>1.09302325581423</v>
      </c>
      <c r="E136" s="35">
        <v>2.48000000000002</v>
      </c>
      <c r="F136" s="36">
        <f t="shared" si="70"/>
        <v>1.06666666666622</v>
      </c>
      <c r="G136" s="35">
        <f>公交!Z34-公交!Z36</f>
        <v>66.4899999999998</v>
      </c>
      <c r="H136" s="36">
        <f t="shared" si="71"/>
        <v>33.8115183246099</v>
      </c>
      <c r="I136" s="35">
        <f>公交!AB34-公交!AB36</f>
        <v>65.6799999999998</v>
      </c>
      <c r="J136" s="36">
        <f t="shared" si="72"/>
        <v>27.5565217391337</v>
      </c>
      <c r="K136" s="35">
        <f>公交!AD34-公交!AD36</f>
        <v>65.5700000000002</v>
      </c>
      <c r="L136" s="36">
        <f t="shared" si="73"/>
        <v>23.5580524344563</v>
      </c>
      <c r="M136" s="35">
        <f>公交!AF34-公交!AF36</f>
        <v>66.48</v>
      </c>
      <c r="N136" s="36">
        <f t="shared" si="74"/>
        <v>23.7137546468397</v>
      </c>
      <c r="O136" s="35">
        <f>公交!AH34-公交!AH36</f>
        <v>63.1100000000001</v>
      </c>
      <c r="P136" s="36">
        <f t="shared" si="75"/>
        <v>26.320346320347</v>
      </c>
      <c r="Q136" s="35">
        <f>公交!AJ34-公交!AJ36</f>
        <v>65.29</v>
      </c>
      <c r="R136" s="36">
        <f t="shared" si="76"/>
        <v>23.9198473282409</v>
      </c>
      <c r="S136" s="35">
        <f>公交!AL34-公交!AL36</f>
        <v>78.4000000000001</v>
      </c>
      <c r="T136" s="36">
        <f t="shared" si="77"/>
        <v>29.9881422924932</v>
      </c>
      <c r="U136" s="35">
        <f>公交!AN34-公交!AN36</f>
        <v>87.1700000000001</v>
      </c>
      <c r="V136" s="36">
        <f t="shared" si="78"/>
        <v>33.0507812500007</v>
      </c>
      <c r="W136" s="35">
        <f>公交!AP34-公交!AP36</f>
        <v>79.4900000000002</v>
      </c>
      <c r="X136" s="36">
        <f t="shared" si="79"/>
        <v>30.9236947791194</v>
      </c>
      <c r="Y136" s="35">
        <f t="shared" si="80"/>
        <v>476.2</v>
      </c>
      <c r="Z136" s="36">
        <f t="shared" si="81"/>
        <v>23.3954918032787</v>
      </c>
      <c r="AA136" s="37"/>
      <c r="AB136" s="38"/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82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303</v>
      </c>
      <c r="C137" s="35">
        <v>324.93</v>
      </c>
      <c r="D137" s="36">
        <f t="shared" si="69"/>
        <v>0.170244183533818</v>
      </c>
      <c r="E137" s="35">
        <v>284.7</v>
      </c>
      <c r="F137" s="36">
        <f t="shared" si="70"/>
        <v>0.074218013055126</v>
      </c>
      <c r="G137" s="35">
        <f>出租!Z34-出租!Z36</f>
        <v>286.59</v>
      </c>
      <c r="H137" s="36">
        <f t="shared" si="71"/>
        <v>0.00279925819657745</v>
      </c>
      <c r="I137" s="35">
        <f>出租!AB34-出租!AB36</f>
        <v>274.15</v>
      </c>
      <c r="J137" s="36">
        <f t="shared" si="72"/>
        <v>0.18602638979018</v>
      </c>
      <c r="K137" s="35">
        <f>出租!AD34-出租!AD36</f>
        <v>266.5</v>
      </c>
      <c r="L137" s="36">
        <f t="shared" si="73"/>
        <v>0.0644671672791179</v>
      </c>
      <c r="M137" s="35">
        <f>出租!AF34-出租!AF36</f>
        <v>254.04</v>
      </c>
      <c r="N137" s="36">
        <f t="shared" si="74"/>
        <v>-0.0777273552368852</v>
      </c>
      <c r="O137" s="35">
        <f>出租!AH34-出租!AH36</f>
        <v>269.39</v>
      </c>
      <c r="P137" s="36">
        <f t="shared" si="75"/>
        <v>-0.0666273993486242</v>
      </c>
      <c r="Q137" s="35">
        <f>出租!AJ34-出租!AJ36</f>
        <v>278.18</v>
      </c>
      <c r="R137" s="36">
        <f t="shared" si="76"/>
        <v>0.0116740008000875</v>
      </c>
      <c r="S137" s="35">
        <f>出租!AL34-出租!AL36</f>
        <v>254.19</v>
      </c>
      <c r="T137" s="36">
        <f t="shared" si="77"/>
        <v>-0.0594264569842736</v>
      </c>
      <c r="U137" s="35">
        <f>出租!AN34-出租!AN36</f>
        <v>281.83</v>
      </c>
      <c r="V137" s="36">
        <f t="shared" si="78"/>
        <v>-0.00575037042263482</v>
      </c>
      <c r="W137" s="35">
        <f>出租!AP34-出租!AP36</f>
        <v>265.57</v>
      </c>
      <c r="X137" s="36">
        <f t="shared" si="79"/>
        <v>-0.00762303351892712</v>
      </c>
      <c r="Y137" s="35">
        <f t="shared" si="80"/>
        <v>2492.67</v>
      </c>
      <c r="Z137" s="36">
        <f t="shared" si="81"/>
        <v>0.0303354717105913</v>
      </c>
      <c r="AA137" s="37"/>
      <c r="AB137" s="38"/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82"/>
        <v>3256.9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304</v>
      </c>
      <c r="C138" s="35">
        <v>67.2171405851228</v>
      </c>
      <c r="D138" s="36">
        <f t="shared" si="69"/>
        <v>-0.328994732438356</v>
      </c>
      <c r="E138" s="35">
        <v>69.8320305152866</v>
      </c>
      <c r="F138" s="36">
        <f t="shared" si="70"/>
        <v>0.232415748967031</v>
      </c>
      <c r="G138" s="35">
        <v>83.5291799647187</v>
      </c>
      <c r="H138" s="36">
        <f t="shared" si="71"/>
        <v>-0.0752208993165505</v>
      </c>
      <c r="I138" s="35">
        <f>网约车!AB34-网约车!AB36</f>
        <v>92.072196536147</v>
      </c>
      <c r="J138" s="36">
        <f t="shared" si="72"/>
        <v>-0.0598500739507914</v>
      </c>
      <c r="K138" s="35">
        <f>网约车!AD34-网约车!AD36</f>
        <v>100.286569964983</v>
      </c>
      <c r="L138" s="36">
        <f t="shared" si="73"/>
        <v>0.0433706905729969</v>
      </c>
      <c r="M138" s="35">
        <f>网约车!AF34-网约车!AF36</f>
        <v>94.767363441909</v>
      </c>
      <c r="N138" s="36">
        <f t="shared" si="74"/>
        <v>0.105435485583254</v>
      </c>
      <c r="O138" s="35">
        <f>网约车!AH34-网约车!AH36</f>
        <v>111.222786226664</v>
      </c>
      <c r="P138" s="36">
        <f t="shared" si="75"/>
        <v>0.132927058282855</v>
      </c>
      <c r="Q138" s="35">
        <f>网约车!AJ34-网约车!AJ36</f>
        <v>120.302678362538</v>
      </c>
      <c r="R138" s="36">
        <f t="shared" si="76"/>
        <v>0.259143302863256</v>
      </c>
      <c r="S138" s="35">
        <f>网约车!AL34-网约车!AL36</f>
        <v>111.301702215198</v>
      </c>
      <c r="T138" s="36">
        <f t="shared" si="77"/>
        <v>0.161090318026986</v>
      </c>
      <c r="U138" s="35">
        <f>网约车!AN34-网约车!AN36</f>
        <v>184.673414752227</v>
      </c>
      <c r="V138" s="36">
        <f t="shared" si="78"/>
        <v>0.761560717450947</v>
      </c>
      <c r="W138" s="35">
        <f>网约车!AP34-网约车!AP36</f>
        <v>206.403570101442</v>
      </c>
      <c r="X138" s="36">
        <f t="shared" si="79"/>
        <v>0.985027368956091</v>
      </c>
      <c r="Y138" s="35">
        <f t="shared" si="80"/>
        <v>850.531647812567</v>
      </c>
      <c r="Z138" s="36">
        <f t="shared" si="81"/>
        <v>0.0416598904457801</v>
      </c>
      <c r="AA138" s="37"/>
      <c r="AB138" s="38"/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82"/>
        <v>1135.53293197662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340</v>
      </c>
      <c r="C139" s="35">
        <f>C140+C141+C142+C143</f>
        <v>6744.00908343818</v>
      </c>
      <c r="D139" s="36">
        <f t="shared" si="69"/>
        <v>-0.0362544655345852</v>
      </c>
      <c r="E139" s="35">
        <f>E140+E141+E142+E143</f>
        <v>6733.6157164572</v>
      </c>
      <c r="F139" s="36">
        <f t="shared" si="70"/>
        <v>0.0090157229966501</v>
      </c>
      <c r="G139" s="35">
        <f>G140+G141+G142+G143</f>
        <v>7442.68505537578</v>
      </c>
      <c r="H139" s="36">
        <f t="shared" si="71"/>
        <v>-0.0220533083712915</v>
      </c>
      <c r="I139" s="35">
        <f>I140+I141+I142+I143</f>
        <v>7979.36031325834</v>
      </c>
      <c r="J139" s="36">
        <f t="shared" si="72"/>
        <v>-0.0668508605725776</v>
      </c>
      <c r="K139" s="35">
        <f>K140+K141+K142+K143</f>
        <v>9927.90054610308</v>
      </c>
      <c r="L139" s="36">
        <f t="shared" si="73"/>
        <v>0.203049484065751</v>
      </c>
      <c r="M139" s="35">
        <f>M140+M141+M142+M143</f>
        <v>8452.92645896308</v>
      </c>
      <c r="N139" s="36">
        <f t="shared" si="74"/>
        <v>0.14666928123659</v>
      </c>
      <c r="O139" s="35">
        <f>O140+O141+O142+O143</f>
        <v>7939.25833918331</v>
      </c>
      <c r="P139" s="36">
        <f t="shared" si="75"/>
        <v>0.0961226659763503</v>
      </c>
      <c r="Q139" s="35">
        <f>Q140+Q141+Q142+Q143</f>
        <v>7583.25641223087</v>
      </c>
      <c r="R139" s="36">
        <f t="shared" si="76"/>
        <v>0.123100539922373</v>
      </c>
      <c r="S139" s="35">
        <f>S140+S141+S142+S143</f>
        <v>7752.58267333206</v>
      </c>
      <c r="T139" s="36">
        <f t="shared" si="77"/>
        <v>0.126291187623084</v>
      </c>
      <c r="U139" s="35">
        <f>U140+U141+U142+U143</f>
        <v>8340.69746300579</v>
      </c>
      <c r="V139" s="36">
        <f t="shared" si="78"/>
        <v>0.0364917431049814</v>
      </c>
      <c r="W139" s="35">
        <f>W140+W141+W142+W143</f>
        <v>8788.63573447539</v>
      </c>
      <c r="X139" s="36">
        <f t="shared" si="79"/>
        <v>0.126129613357276</v>
      </c>
      <c r="Y139" s="35">
        <f t="shared" si="80"/>
        <v>70555.5945983419</v>
      </c>
      <c r="Z139" s="36">
        <f t="shared" si="81"/>
        <v>0.0636242122944124</v>
      </c>
      <c r="AA139" s="37"/>
      <c r="AB139" s="38"/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82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301</v>
      </c>
      <c r="C140" s="35">
        <v>3012.15431</v>
      </c>
      <c r="D140" s="36">
        <f t="shared" ref="D140:D171" si="83">C140/AC140-1</f>
        <v>-0.0616477642925111</v>
      </c>
      <c r="E140" s="35">
        <v>3032.91915</v>
      </c>
      <c r="F140" s="36">
        <f t="shared" si="70"/>
        <v>-0.0778028153031528</v>
      </c>
      <c r="G140" s="35">
        <v>3713.6165</v>
      </c>
      <c r="H140" s="36">
        <f t="shared" si="71"/>
        <v>-0.0767689692729214</v>
      </c>
      <c r="I140" s="35">
        <f>中口径明细!AB140</f>
        <v>4263.1965</v>
      </c>
      <c r="J140" s="36">
        <f t="shared" si="72"/>
        <v>-0.150641720073858</v>
      </c>
      <c r="K140" s="35">
        <f>中口径明细!AD140</f>
        <v>4876.7518</v>
      </c>
      <c r="L140" s="36">
        <f t="shared" si="73"/>
        <v>0.0652863039848803</v>
      </c>
      <c r="M140" s="35">
        <f>中口径明细!AF140</f>
        <v>3859.0526</v>
      </c>
      <c r="N140" s="36">
        <f t="shared" si="74"/>
        <v>0.0251967831628375</v>
      </c>
      <c r="O140" s="35">
        <f>中口径明细!AH140</f>
        <v>3570.2202</v>
      </c>
      <c r="P140" s="36">
        <f t="shared" si="75"/>
        <v>-0.0367772457327007</v>
      </c>
      <c r="Q140" s="35">
        <f>中口径明细!AJ140</f>
        <v>3408.068</v>
      </c>
      <c r="R140" s="36">
        <f t="shared" si="76"/>
        <v>-0.00891138969283167</v>
      </c>
      <c r="S140" s="35">
        <f>中口径明细!AL140</f>
        <v>3530.7566</v>
      </c>
      <c r="T140" s="36">
        <f t="shared" si="77"/>
        <v>0.0204612392363326</v>
      </c>
      <c r="U140" s="35">
        <f>中口径明细!AN140</f>
        <v>3837.5662</v>
      </c>
      <c r="V140" s="36">
        <f t="shared" si="78"/>
        <v>-0.114907271443536</v>
      </c>
      <c r="W140" s="35">
        <f>中口径明细!AP140</f>
        <v>4288.0104</v>
      </c>
      <c r="X140" s="36">
        <f t="shared" si="79"/>
        <v>-0.00795569940677154</v>
      </c>
      <c r="Y140" s="35">
        <f t="shared" si="80"/>
        <v>33266.73566</v>
      </c>
      <c r="Z140" s="36">
        <f t="shared" si="81"/>
        <v>-0.0354075438989974</v>
      </c>
      <c r="AA140" s="37"/>
      <c r="AB140" s="38"/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82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341</v>
      </c>
      <c r="C141" s="35">
        <v>2524.93</v>
      </c>
      <c r="D141" s="36">
        <f t="shared" si="83"/>
        <v>0.0636613713818712</v>
      </c>
      <c r="E141" s="35">
        <v>2512.84</v>
      </c>
      <c r="F141" s="36">
        <f t="shared" si="70"/>
        <v>0.152129259435866</v>
      </c>
      <c r="G141" s="35">
        <f>公交!Z38-公交!Z40</f>
        <v>2579.92</v>
      </c>
      <c r="H141" s="36">
        <f t="shared" si="71"/>
        <v>0.0804363758192517</v>
      </c>
      <c r="I141" s="35">
        <f>公交!AB38-公交!AB40</f>
        <v>2561.63</v>
      </c>
      <c r="J141" s="36">
        <f t="shared" si="72"/>
        <v>0.0889570943346498</v>
      </c>
      <c r="K141" s="35">
        <f>公交!AD38-公交!AD40</f>
        <v>3403.49</v>
      </c>
      <c r="L141" s="36">
        <f t="shared" si="73"/>
        <v>0.409271780942167</v>
      </c>
      <c r="M141" s="35">
        <f>公交!AF38-公交!AF40</f>
        <v>3131.36</v>
      </c>
      <c r="N141" s="36">
        <f t="shared" si="74"/>
        <v>0.336406159308956</v>
      </c>
      <c r="O141" s="35">
        <f>公交!AH38-公交!AH40</f>
        <v>2956.16</v>
      </c>
      <c r="P141" s="36">
        <f t="shared" si="75"/>
        <v>0.273586572057575</v>
      </c>
      <c r="Q141" s="35">
        <f>公交!AJ38-公交!AJ40</f>
        <v>2807.12</v>
      </c>
      <c r="R141" s="36">
        <f t="shared" si="76"/>
        <v>0.295801174341741</v>
      </c>
      <c r="S141" s="35">
        <f>公交!AL38-公交!AL40</f>
        <v>2860.73</v>
      </c>
      <c r="T141" s="36">
        <f t="shared" si="77"/>
        <v>0.253502118579084</v>
      </c>
      <c r="U141" s="35">
        <f>公交!AN38-公交!AN40</f>
        <v>2911.41</v>
      </c>
      <c r="V141" s="36">
        <f t="shared" si="78"/>
        <v>0.161571791066214</v>
      </c>
      <c r="W141" s="35">
        <f>公交!AP38-公交!AP40</f>
        <v>2952.38</v>
      </c>
      <c r="X141" s="36">
        <f t="shared" si="79"/>
        <v>0.25966600960841</v>
      </c>
      <c r="Y141" s="35">
        <f t="shared" si="80"/>
        <v>25338.18</v>
      </c>
      <c r="Z141" s="36">
        <f t="shared" si="81"/>
        <v>0.216842034490873</v>
      </c>
      <c r="AA141" s="37"/>
      <c r="AB141" s="38"/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82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303</v>
      </c>
      <c r="C142" s="35">
        <v>1059.32</v>
      </c>
      <c r="D142" s="36">
        <f t="shared" si="83"/>
        <v>-0.124036648695134</v>
      </c>
      <c r="E142" s="35">
        <v>1040.34</v>
      </c>
      <c r="F142" s="36">
        <f t="shared" si="70"/>
        <v>-0.0309347491965908</v>
      </c>
      <c r="G142" s="35">
        <f>出租!Z38-出租!Z40</f>
        <v>976.67</v>
      </c>
      <c r="H142" s="36">
        <f t="shared" si="71"/>
        <v>-0.0575321579866637</v>
      </c>
      <c r="I142" s="35">
        <f>出租!AB38-出租!AB40</f>
        <v>959.45</v>
      </c>
      <c r="J142" s="36">
        <f t="shared" si="72"/>
        <v>-0.0435913794134649</v>
      </c>
      <c r="K142" s="35">
        <f>出租!AD38-出租!AD40</f>
        <v>1419.83</v>
      </c>
      <c r="L142" s="36">
        <f t="shared" si="73"/>
        <v>0.325073961045627</v>
      </c>
      <c r="M142" s="35">
        <f>出租!AF38-出租!AF40</f>
        <v>1239.85</v>
      </c>
      <c r="N142" s="36">
        <f t="shared" si="74"/>
        <v>0.139264350494813</v>
      </c>
      <c r="O142" s="35">
        <f>出租!AH38-出租!AH40</f>
        <v>1169.99</v>
      </c>
      <c r="P142" s="36">
        <f t="shared" si="75"/>
        <v>0.141264375664524</v>
      </c>
      <c r="Q142" s="35">
        <f>出租!AJ38-出租!AJ40</f>
        <v>1113.85</v>
      </c>
      <c r="R142" s="36">
        <f t="shared" si="76"/>
        <v>0.152111627137227</v>
      </c>
      <c r="S142" s="35">
        <f>出租!AL38-出租!AL40</f>
        <v>1128.11</v>
      </c>
      <c r="T142" s="36">
        <f t="shared" si="77"/>
        <v>0.206276732249786</v>
      </c>
      <c r="U142" s="35">
        <f>出租!AN38-出租!AN40</f>
        <v>1205.67</v>
      </c>
      <c r="V142" s="36">
        <f t="shared" si="78"/>
        <v>0.230250403052999</v>
      </c>
      <c r="W142" s="35">
        <f>出租!AP38-出租!AP40</f>
        <v>1154.23</v>
      </c>
      <c r="X142" s="36">
        <f t="shared" si="79"/>
        <v>0.248882829659925</v>
      </c>
      <c r="Y142" s="35">
        <f t="shared" si="80"/>
        <v>10107.41</v>
      </c>
      <c r="Z142" s="36">
        <f t="shared" si="81"/>
        <v>0.0741936169534398</v>
      </c>
      <c r="AA142" s="37"/>
      <c r="AB142" s="38"/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82"/>
        <v>12248.64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304</v>
      </c>
      <c r="C143" s="35">
        <v>147.604773438182</v>
      </c>
      <c r="D143" s="36">
        <f t="shared" si="83"/>
        <v>-0.278324672027161</v>
      </c>
      <c r="E143" s="35">
        <v>147.516566457204</v>
      </c>
      <c r="F143" s="36">
        <f t="shared" si="70"/>
        <v>0.134193675914024</v>
      </c>
      <c r="G143" s="35">
        <v>172.478555375779</v>
      </c>
      <c r="H143" s="36">
        <f t="shared" si="71"/>
        <v>0.0518957426341289</v>
      </c>
      <c r="I143" s="35">
        <f>网约车!AB38-网约车!AB40</f>
        <v>195.083813258339</v>
      </c>
      <c r="J143" s="36">
        <f t="shared" si="72"/>
        <v>0.107565679938239</v>
      </c>
      <c r="K143" s="35">
        <f>网约车!AD38-网约车!AD40</f>
        <v>227.828746103075</v>
      </c>
      <c r="L143" s="36">
        <f t="shared" si="73"/>
        <v>0.213013463626377</v>
      </c>
      <c r="M143" s="35">
        <f>网约车!AF38-网约车!AF40</f>
        <v>222.663858963079</v>
      </c>
      <c r="N143" s="36">
        <f t="shared" si="74"/>
        <v>0.264383524649491</v>
      </c>
      <c r="O143" s="35">
        <f>网约车!AH38-网约车!AH40</f>
        <v>242.888139183313</v>
      </c>
      <c r="P143" s="36">
        <f t="shared" si="75"/>
        <v>0.277002330911229</v>
      </c>
      <c r="Q143" s="35">
        <f>网约车!AJ38-网约车!AJ40</f>
        <v>254.218412230865</v>
      </c>
      <c r="R143" s="36">
        <f t="shared" si="76"/>
        <v>0.41035842312236</v>
      </c>
      <c r="S143" s="35">
        <f>网约车!AL38-网约车!AL40</f>
        <v>232.986073332064</v>
      </c>
      <c r="T143" s="36">
        <f t="shared" si="77"/>
        <v>0.131368329780635</v>
      </c>
      <c r="U143" s="35">
        <f>网约车!AN38-网约车!AN40</f>
        <v>386.051263005785</v>
      </c>
      <c r="V143" s="36">
        <f t="shared" si="78"/>
        <v>0.717248761462907</v>
      </c>
      <c r="W143" s="35">
        <f>网约车!AP38-网约车!AP40</f>
        <v>394.015334475393</v>
      </c>
      <c r="X143" s="36">
        <f t="shared" si="79"/>
        <v>0.84208609016851</v>
      </c>
      <c r="Y143" s="35">
        <f t="shared" si="80"/>
        <v>1843.2689383419</v>
      </c>
      <c r="Z143" s="36">
        <f t="shared" si="81"/>
        <v>0.141335050892932</v>
      </c>
      <c r="AA143" s="37"/>
      <c r="AB143" s="38"/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82"/>
        <v>2286.37684043639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340</v>
      </c>
      <c r="C144" s="35">
        <f>C145+C146+C147+C148</f>
        <v>11898.9286454538</v>
      </c>
      <c r="D144" s="36">
        <f t="shared" si="83"/>
        <v>0.112412651675978</v>
      </c>
      <c r="E144" s="35">
        <f>E145+E146+E147+E148</f>
        <v>14244.8790144351</v>
      </c>
      <c r="F144" s="36">
        <f t="shared" si="70"/>
        <v>-0.0382830561116934</v>
      </c>
      <c r="G144" s="35">
        <f>G145+G146+G147+G148</f>
        <v>11977.1283337539</v>
      </c>
      <c r="H144" s="36">
        <f t="shared" si="71"/>
        <v>0.0474166046685989</v>
      </c>
      <c r="I144" s="35">
        <f>I145+I146+I147+I148</f>
        <v>12234.2634357822</v>
      </c>
      <c r="J144" s="36">
        <f t="shared" si="72"/>
        <v>-0.00962184789963427</v>
      </c>
      <c r="K144" s="35">
        <f>K145+K146+K147+K148</f>
        <v>12055.8191998628</v>
      </c>
      <c r="L144" s="36">
        <f t="shared" si="73"/>
        <v>-0.0668234306117749</v>
      </c>
      <c r="M144" s="35">
        <f>M145+M146+M147+M148</f>
        <v>11291.2653372311</v>
      </c>
      <c r="N144" s="36">
        <f t="shared" si="74"/>
        <v>-0.0294075052455209</v>
      </c>
      <c r="O144" s="35">
        <f>O145+O146+O147+O148</f>
        <v>12631.125249984</v>
      </c>
      <c r="P144" s="36">
        <f t="shared" si="75"/>
        <v>0.0476907186275561</v>
      </c>
      <c r="Q144" s="35">
        <f>Q145+Q146+Q147+Q148</f>
        <v>11999.9488623679</v>
      </c>
      <c r="R144" s="36">
        <f t="shared" si="76"/>
        <v>0.0465826695720248</v>
      </c>
      <c r="S144" s="35">
        <f>S145+S146+S147+S148</f>
        <v>11728.4752332775</v>
      </c>
      <c r="T144" s="36">
        <f t="shared" si="77"/>
        <v>0.0800090168105894</v>
      </c>
      <c r="U144" s="35">
        <f>U145+U146+U147+U148</f>
        <v>12698.6249019774</v>
      </c>
      <c r="V144" s="36">
        <f t="shared" si="78"/>
        <v>0.0798616458582964</v>
      </c>
      <c r="W144" s="35">
        <f>W145+W146+W147+W148</f>
        <v>11344.1673422838</v>
      </c>
      <c r="X144" s="36">
        <f t="shared" si="79"/>
        <v>0.119779202932415</v>
      </c>
      <c r="Y144" s="35">
        <f t="shared" si="80"/>
        <v>110061.833312148</v>
      </c>
      <c r="Z144" s="36">
        <f t="shared" si="81"/>
        <v>0.0169199573027985</v>
      </c>
      <c r="AA144" s="37"/>
      <c r="AB144" s="38"/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82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301</v>
      </c>
      <c r="C145" s="35">
        <v>10799.7779</v>
      </c>
      <c r="D145" s="36">
        <f t="shared" si="83"/>
        <v>0.142506943675852</v>
      </c>
      <c r="E145" s="35">
        <v>13153.0143</v>
      </c>
      <c r="F145" s="36">
        <f t="shared" si="70"/>
        <v>-0.029851774375794</v>
      </c>
      <c r="G145" s="35">
        <v>10881.1162</v>
      </c>
      <c r="H145" s="36">
        <f t="shared" si="71"/>
        <v>0.0592041177943108</v>
      </c>
      <c r="I145" s="35">
        <f>中口径明细!AB145</f>
        <v>11104.6944</v>
      </c>
      <c r="J145" s="36">
        <f t="shared" si="72"/>
        <v>-0.0125135450766491</v>
      </c>
      <c r="K145" s="35">
        <f>中口径明细!AD145</f>
        <v>10895.0669</v>
      </c>
      <c r="L145" s="36">
        <f t="shared" si="73"/>
        <v>-0.0770680780308525</v>
      </c>
      <c r="M145" s="35">
        <f>中口径明细!AF145</f>
        <v>10219.4209</v>
      </c>
      <c r="N145" s="36">
        <f t="shared" si="74"/>
        <v>-0.0289627602934664</v>
      </c>
      <c r="O145" s="35">
        <f>中口径明细!AH145</f>
        <v>10813.7971</v>
      </c>
      <c r="P145" s="36">
        <f t="shared" si="75"/>
        <v>-0.00921554942140501</v>
      </c>
      <c r="Q145" s="35">
        <f>中口径明细!AJ145</f>
        <v>9954.1267</v>
      </c>
      <c r="R145" s="36">
        <f t="shared" si="76"/>
        <v>-0.0416789267271775</v>
      </c>
      <c r="S145" s="35">
        <f>中口径明细!AL145</f>
        <v>9722.3011</v>
      </c>
      <c r="T145" s="36">
        <f t="shared" si="77"/>
        <v>-0.0138498380819374</v>
      </c>
      <c r="U145" s="35">
        <f>中口径明细!AN145</f>
        <v>10569.0524</v>
      </c>
      <c r="V145" s="36">
        <f t="shared" si="78"/>
        <v>-0.0145912863039589</v>
      </c>
      <c r="W145" s="35">
        <f>中口径明细!AP145</f>
        <v>9485.8706</v>
      </c>
      <c r="X145" s="36">
        <f t="shared" si="79"/>
        <v>0.0386798892734175</v>
      </c>
      <c r="Y145" s="35">
        <f t="shared" si="80"/>
        <v>97543.3155</v>
      </c>
      <c r="Z145" s="36">
        <f t="shared" si="81"/>
        <v>-0.00484401877987128</v>
      </c>
      <c r="AA145" s="37"/>
      <c r="AB145" s="38"/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82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341</v>
      </c>
      <c r="C146" s="35">
        <v>125.16</v>
      </c>
      <c r="D146" s="36">
        <f t="shared" si="83"/>
        <v>0.00935483870967735</v>
      </c>
      <c r="E146" s="35">
        <v>125.13</v>
      </c>
      <c r="F146" s="36">
        <f t="shared" si="70"/>
        <v>0.0128703254006799</v>
      </c>
      <c r="G146" s="35">
        <f>公交!Z42-公交!Z44</f>
        <v>125.51</v>
      </c>
      <c r="H146" s="36">
        <f t="shared" si="71"/>
        <v>0.0152887882219723</v>
      </c>
      <c r="I146" s="35">
        <f>公交!AB42-公交!AB44</f>
        <v>125.919999999999</v>
      </c>
      <c r="J146" s="36">
        <f t="shared" si="72"/>
        <v>0.0178643601972288</v>
      </c>
      <c r="K146" s="35">
        <f>公交!AD42-公交!AD44</f>
        <v>125.95</v>
      </c>
      <c r="L146" s="36">
        <f t="shared" si="73"/>
        <v>0.0190953960676414</v>
      </c>
      <c r="M146" s="35">
        <f>公交!AF42-公交!AF44</f>
        <v>90.46</v>
      </c>
      <c r="N146" s="36">
        <f t="shared" si="74"/>
        <v>-0.268063759203819</v>
      </c>
      <c r="O146" s="35">
        <f>公交!AH42-公交!AH44</f>
        <v>96.1700000000001</v>
      </c>
      <c r="P146" s="36">
        <f t="shared" si="75"/>
        <v>-0.246375675887475</v>
      </c>
      <c r="Q146" s="35">
        <f>公交!AJ42-公交!AJ44</f>
        <v>103.62</v>
      </c>
      <c r="R146" s="36">
        <f t="shared" si="76"/>
        <v>-0.186592354187928</v>
      </c>
      <c r="S146" s="35">
        <f>公交!AL42-公交!AL44</f>
        <v>103.700000000001</v>
      </c>
      <c r="T146" s="36">
        <f t="shared" si="77"/>
        <v>-0.169735788630899</v>
      </c>
      <c r="U146" s="35">
        <f>公交!AN42-公交!AN44</f>
        <v>101.05</v>
      </c>
      <c r="V146" s="36">
        <f t="shared" si="78"/>
        <v>-0.19256891729924</v>
      </c>
      <c r="W146" s="35">
        <f>公交!AP42-公交!AP44</f>
        <v>101.25</v>
      </c>
      <c r="X146" s="36">
        <f t="shared" si="79"/>
        <v>-0.188246612683396</v>
      </c>
      <c r="Y146" s="35">
        <f t="shared" si="80"/>
        <v>1021.62</v>
      </c>
      <c r="Z146" s="36">
        <f t="shared" si="81"/>
        <v>-0.0894246624181124</v>
      </c>
      <c r="AA146" s="37"/>
      <c r="AB146" s="38"/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82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303</v>
      </c>
      <c r="C147" s="35">
        <v>862.91</v>
      </c>
      <c r="D147" s="36">
        <f t="shared" si="83"/>
        <v>-0.0737830730424516</v>
      </c>
      <c r="E147" s="35">
        <v>780.83</v>
      </c>
      <c r="F147" s="36">
        <f t="shared" si="70"/>
        <v>-0.230557745368545</v>
      </c>
      <c r="G147" s="35">
        <f>出租!Z42-出租!Z44</f>
        <v>767.65</v>
      </c>
      <c r="H147" s="36">
        <f t="shared" si="71"/>
        <v>-0.114672233242607</v>
      </c>
      <c r="I147" s="35">
        <f>出租!AB42-出租!AB44</f>
        <v>728.9</v>
      </c>
      <c r="J147" s="36">
        <f t="shared" si="72"/>
        <v>-0.0860188087774294</v>
      </c>
      <c r="K147" s="35">
        <f>出租!AD42-出租!AD44</f>
        <v>753</v>
      </c>
      <c r="L147" s="36">
        <f t="shared" si="73"/>
        <v>-0.0596315953793318</v>
      </c>
      <c r="M147" s="35">
        <f>出租!AF42-出租!AF44</f>
        <v>728.19</v>
      </c>
      <c r="N147" s="36">
        <f t="shared" si="74"/>
        <v>-0.0910123580077393</v>
      </c>
      <c r="O147" s="35">
        <f>出租!AH42-出租!AH44</f>
        <v>1360.1</v>
      </c>
      <c r="P147" s="36">
        <f t="shared" si="75"/>
        <v>0.665748123109331</v>
      </c>
      <c r="Q147" s="35">
        <f>出租!AJ42-出租!AJ44</f>
        <v>1569.88</v>
      </c>
      <c r="R147" s="36">
        <f t="shared" si="76"/>
        <v>1.03787888622055</v>
      </c>
      <c r="S147" s="35">
        <f>出租!AL42-出租!AL44</f>
        <v>1573.32</v>
      </c>
      <c r="T147" s="36">
        <f t="shared" si="77"/>
        <v>1.25378180151272</v>
      </c>
      <c r="U147" s="35">
        <f>出租!AN42-出租!AN44</f>
        <v>1675.06</v>
      </c>
      <c r="V147" s="36">
        <f t="shared" si="78"/>
        <v>1.34585813318395</v>
      </c>
      <c r="W147" s="35">
        <f>出租!AP42-出租!AP44</f>
        <v>1457.61</v>
      </c>
      <c r="X147" s="36">
        <f t="shared" si="79"/>
        <v>1.10084748205586</v>
      </c>
      <c r="Y147" s="35">
        <f t="shared" si="80"/>
        <v>9124.78</v>
      </c>
      <c r="Z147" s="36">
        <f t="shared" si="81"/>
        <v>0.216991072071615</v>
      </c>
      <c r="AA147" s="37"/>
      <c r="AB147" s="38"/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82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304</v>
      </c>
      <c r="C148" s="35">
        <v>111.080745453823</v>
      </c>
      <c r="D148" s="36">
        <f t="shared" si="83"/>
        <v>-0.409628064960911</v>
      </c>
      <c r="E148" s="35">
        <v>185.904714435056</v>
      </c>
      <c r="F148" s="36">
        <f t="shared" si="70"/>
        <v>0.604730135305307</v>
      </c>
      <c r="G148" s="35">
        <v>202.852133753913</v>
      </c>
      <c r="H148" s="36">
        <f t="shared" si="71"/>
        <v>0.18415143496939</v>
      </c>
      <c r="I148" s="35">
        <f>网约车!AB42-网约车!AB44</f>
        <v>274.749035782158</v>
      </c>
      <c r="J148" s="36">
        <f t="shared" si="72"/>
        <v>0.473193793676918</v>
      </c>
      <c r="K148" s="35">
        <f>网约车!AD42-网约车!AD44</f>
        <v>281.802299862798</v>
      </c>
      <c r="L148" s="36">
        <f t="shared" si="73"/>
        <v>0.483673232792512</v>
      </c>
      <c r="M148" s="35">
        <f>网约车!AF42-网约车!AF44</f>
        <v>253.194437231129</v>
      </c>
      <c r="N148" s="36">
        <f t="shared" si="74"/>
        <v>0.372683656602064</v>
      </c>
      <c r="O148" s="35">
        <f>网约车!AH42-网约车!AH44</f>
        <v>361.058149983989</v>
      </c>
      <c r="P148" s="36">
        <f t="shared" si="75"/>
        <v>0.826669243144912</v>
      </c>
      <c r="Q148" s="35">
        <f>网约车!AJ42-网约车!AJ44</f>
        <v>372.322162367876</v>
      </c>
      <c r="R148" s="36">
        <f t="shared" si="76"/>
        <v>1.05644054050491</v>
      </c>
      <c r="S148" s="35">
        <f>网约车!AL42-网约车!AL44</f>
        <v>329.154133277492</v>
      </c>
      <c r="T148" s="36">
        <f t="shared" si="77"/>
        <v>0.851425905290627</v>
      </c>
      <c r="U148" s="35">
        <f>网约车!AN42-网约车!AN44</f>
        <v>353.462501977382</v>
      </c>
      <c r="V148" s="36">
        <f t="shared" si="78"/>
        <v>0.815043822565934</v>
      </c>
      <c r="W148" s="35">
        <f>网约车!AP42-网约车!AP44</f>
        <v>299.436742283824</v>
      </c>
      <c r="X148" s="36">
        <f t="shared" si="79"/>
        <v>0.667741894724818</v>
      </c>
      <c r="Y148" s="35">
        <f t="shared" si="80"/>
        <v>2372.11781214823</v>
      </c>
      <c r="Z148" s="36">
        <f t="shared" si="81"/>
        <v>0.48937871789403</v>
      </c>
      <c r="AA148" s="37"/>
      <c r="AB148" s="38"/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82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340</v>
      </c>
      <c r="C149" s="35">
        <f>C150+C151+C152+C153</f>
        <v>14007.1210225521</v>
      </c>
      <c r="D149" s="36">
        <f t="shared" si="83"/>
        <v>0.123434508211099</v>
      </c>
      <c r="E149" s="35">
        <f>E150+E151+E152+E153</f>
        <v>15427.9773144926</v>
      </c>
      <c r="F149" s="36">
        <f t="shared" si="70"/>
        <v>0.251824602203622</v>
      </c>
      <c r="G149" s="35">
        <f>G150+G151+G152+G153</f>
        <v>15297.0042351357</v>
      </c>
      <c r="H149" s="36">
        <f t="shared" si="71"/>
        <v>0.257674897667673</v>
      </c>
      <c r="I149" s="35">
        <f>I150+I151+I152+I153</f>
        <v>15556.3983371461</v>
      </c>
      <c r="J149" s="36">
        <f t="shared" si="72"/>
        <v>0.233247170984867</v>
      </c>
      <c r="K149" s="35">
        <f>K150+K151+K152+K153</f>
        <v>15360.8221240933</v>
      </c>
      <c r="L149" s="36">
        <f t="shared" si="73"/>
        <v>0.259754902914277</v>
      </c>
      <c r="M149" s="35">
        <f>M150+M151+M152+M153</f>
        <v>15015.1711800296</v>
      </c>
      <c r="N149" s="36">
        <f t="shared" si="74"/>
        <v>0.284483147006141</v>
      </c>
      <c r="O149" s="35">
        <f>O150+O151+O152+O153</f>
        <v>14360.1585143768</v>
      </c>
      <c r="P149" s="36">
        <f t="shared" si="75"/>
        <v>0.25393120270914</v>
      </c>
      <c r="Q149" s="35">
        <f>Q150+Q151+Q152+Q153</f>
        <v>14492.7399688497</v>
      </c>
      <c r="R149" s="36">
        <f t="shared" si="76"/>
        <v>0.0252791555565453</v>
      </c>
      <c r="S149" s="35">
        <f>S150+S151+S152+S153</f>
        <v>14820.751709187</v>
      </c>
      <c r="T149" s="36">
        <f t="shared" si="77"/>
        <v>-0.0713147942970781</v>
      </c>
      <c r="U149" s="35">
        <f>U150+U151+U152+U153</f>
        <v>15858.2011919657</v>
      </c>
      <c r="V149" s="36">
        <f t="shared" si="78"/>
        <v>-0.0702176821494455</v>
      </c>
      <c r="W149" s="35">
        <f>W150+W151+W152+W153</f>
        <v>14768.3445352655</v>
      </c>
      <c r="X149" s="36">
        <f t="shared" si="79"/>
        <v>-0.0158119379343697</v>
      </c>
      <c r="Y149" s="35">
        <f t="shared" si="80"/>
        <v>134338.144405863</v>
      </c>
      <c r="Z149" s="36">
        <f t="shared" si="81"/>
        <v>0.168166397884369</v>
      </c>
      <c r="AA149" s="37"/>
      <c r="AB149" s="38"/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82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301</v>
      </c>
      <c r="C150" s="35">
        <v>8652.7027</v>
      </c>
      <c r="D150" s="36">
        <f t="shared" si="83"/>
        <v>0.267291043395115</v>
      </c>
      <c r="E150" s="35">
        <v>8874.886</v>
      </c>
      <c r="F150" s="36">
        <f t="shared" si="70"/>
        <v>0.220181911318047</v>
      </c>
      <c r="G150" s="35">
        <v>8663.1027</v>
      </c>
      <c r="H150" s="36">
        <f t="shared" si="71"/>
        <v>0.238947473182783</v>
      </c>
      <c r="I150" s="35">
        <f>中口径明细!AB150</f>
        <v>9201.8672</v>
      </c>
      <c r="J150" s="36">
        <f t="shared" si="72"/>
        <v>0.259940498239036</v>
      </c>
      <c r="K150" s="35">
        <f>中口径明细!AD150</f>
        <v>8984.2135</v>
      </c>
      <c r="L150" s="36">
        <f t="shared" si="73"/>
        <v>0.249525371751042</v>
      </c>
      <c r="M150" s="35">
        <f>中口径明细!AF150</f>
        <v>8588.2675</v>
      </c>
      <c r="N150" s="36">
        <f t="shared" si="74"/>
        <v>0.280762431963852</v>
      </c>
      <c r="O150" s="35">
        <f>中口径明细!AH150</f>
        <v>8528.6379</v>
      </c>
      <c r="P150" s="36">
        <f t="shared" si="75"/>
        <v>0.287825656185902</v>
      </c>
      <c r="Q150" s="35">
        <f>中口径明细!AJ150</f>
        <v>8864.1288</v>
      </c>
      <c r="R150" s="36">
        <f t="shared" si="76"/>
        <v>-0.0244619436622191</v>
      </c>
      <c r="S150" s="35">
        <f>中口径明细!AL150</f>
        <v>8956.6383</v>
      </c>
      <c r="T150" s="36">
        <f t="shared" si="77"/>
        <v>-0.1607590050883</v>
      </c>
      <c r="U150" s="35">
        <f>中口径明细!AN150</f>
        <v>9643.3971</v>
      </c>
      <c r="V150" s="36">
        <f t="shared" si="78"/>
        <v>-0.168040238104792</v>
      </c>
      <c r="W150" s="35">
        <f>中口径明细!AP150</f>
        <v>8993.5855</v>
      </c>
      <c r="X150" s="36">
        <f t="shared" si="79"/>
        <v>-0.0628773762191415</v>
      </c>
      <c r="Y150" s="35">
        <f t="shared" si="80"/>
        <v>79314.4446</v>
      </c>
      <c r="Z150" s="36">
        <f t="shared" si="81"/>
        <v>0.154945450473395</v>
      </c>
      <c r="AA150" s="37"/>
      <c r="AB150" s="38"/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82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341</v>
      </c>
      <c r="C151" s="35">
        <v>4789.39</v>
      </c>
      <c r="D151" s="36">
        <f t="shared" si="83"/>
        <v>0.0626747313020866</v>
      </c>
      <c r="E151" s="35">
        <v>5985.38</v>
      </c>
      <c r="F151" s="36">
        <f t="shared" si="70"/>
        <v>0.489700933835095</v>
      </c>
      <c r="G151" s="35">
        <f>公交!Z46-公交!Z48</f>
        <v>6160.08</v>
      </c>
      <c r="H151" s="36">
        <f t="shared" si="71"/>
        <v>0.418275252339203</v>
      </c>
      <c r="I151" s="35">
        <f>公交!AB46-公交!AB48</f>
        <v>5866.16</v>
      </c>
      <c r="J151" s="36">
        <f t="shared" si="72"/>
        <v>0.304138849427871</v>
      </c>
      <c r="K151" s="35">
        <f>公交!AD46-公交!AD48</f>
        <v>5906.85</v>
      </c>
      <c r="L151" s="36">
        <f t="shared" si="73"/>
        <v>0.322590973820676</v>
      </c>
      <c r="M151" s="35">
        <f>公交!AF46-公交!AF48</f>
        <v>5895.57</v>
      </c>
      <c r="N151" s="36">
        <f t="shared" si="74"/>
        <v>0.334567037683443</v>
      </c>
      <c r="O151" s="35">
        <f>公交!AH46-公交!AH48</f>
        <v>5278.18</v>
      </c>
      <c r="P151" s="36">
        <f t="shared" si="75"/>
        <v>0.235358412578787</v>
      </c>
      <c r="Q151" s="35">
        <f>公交!AJ46-公交!AJ48</f>
        <v>5025.74</v>
      </c>
      <c r="R151" s="36">
        <f t="shared" si="76"/>
        <v>0.100716619797279</v>
      </c>
      <c r="S151" s="35">
        <f>公交!AL46-公交!AL48</f>
        <v>5273.14</v>
      </c>
      <c r="T151" s="36">
        <f t="shared" si="77"/>
        <v>0.098838675260428</v>
      </c>
      <c r="U151" s="35">
        <f>公交!AN46-公交!AN48</f>
        <v>5435.17</v>
      </c>
      <c r="V151" s="36">
        <f t="shared" si="78"/>
        <v>0.107489327886056</v>
      </c>
      <c r="W151" s="35">
        <f>公交!AP46-公交!AP48</f>
        <v>5196.39</v>
      </c>
      <c r="X151" s="36">
        <f t="shared" si="79"/>
        <v>0.0840763719963782</v>
      </c>
      <c r="Y151" s="35">
        <f t="shared" si="80"/>
        <v>50180.49</v>
      </c>
      <c r="Z151" s="36">
        <f t="shared" si="81"/>
        <v>0.258058717524702</v>
      </c>
      <c r="AA151" s="37"/>
      <c r="AB151" s="38"/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82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303</v>
      </c>
      <c r="C152" s="35">
        <v>457.49</v>
      </c>
      <c r="D152" s="36">
        <f t="shared" si="83"/>
        <v>-0.484808558558559</v>
      </c>
      <c r="E152" s="35">
        <v>447.38</v>
      </c>
      <c r="F152" s="36">
        <f t="shared" si="70"/>
        <v>-0.468846464358646</v>
      </c>
      <c r="G152" s="35">
        <f>出租!Z46-出租!Z48</f>
        <v>355.66</v>
      </c>
      <c r="H152" s="36">
        <f t="shared" si="71"/>
        <v>-0.459088696921767</v>
      </c>
      <c r="I152" s="35">
        <f>出租!AB46-出租!AB48</f>
        <v>350.32</v>
      </c>
      <c r="J152" s="36">
        <f t="shared" si="72"/>
        <v>-0.44038338658147</v>
      </c>
      <c r="K152" s="35">
        <f>出租!AD46-出租!AD48</f>
        <v>316.95</v>
      </c>
      <c r="L152" s="36">
        <f t="shared" si="73"/>
        <v>-0.13467838811838</v>
      </c>
      <c r="M152" s="35">
        <f>出租!AF46-出租!AF48</f>
        <v>376.14</v>
      </c>
      <c r="N152" s="36">
        <f t="shared" si="74"/>
        <v>-0.0745497490404485</v>
      </c>
      <c r="O152" s="35">
        <f>出租!AH46-出租!AH48</f>
        <v>386.16</v>
      </c>
      <c r="P152" s="36">
        <f t="shared" si="75"/>
        <v>-0.0297731212783602</v>
      </c>
      <c r="Q152" s="35">
        <f>出租!AJ46-出租!AJ48</f>
        <v>422.01</v>
      </c>
      <c r="R152" s="36">
        <f t="shared" si="76"/>
        <v>0.228451663610165</v>
      </c>
      <c r="S152" s="35">
        <f>出租!AL46-出租!AL48</f>
        <v>429.95</v>
      </c>
      <c r="T152" s="36">
        <f t="shared" si="77"/>
        <v>0.241481866481867</v>
      </c>
      <c r="U152" s="35">
        <f>出租!AN46-出租!AN48</f>
        <v>571.05</v>
      </c>
      <c r="V152" s="36">
        <f t="shared" si="78"/>
        <v>0.438485566023477</v>
      </c>
      <c r="W152" s="35">
        <f>出租!AP46-出租!AP48</f>
        <v>419.81</v>
      </c>
      <c r="X152" s="36">
        <f t="shared" si="79"/>
        <v>-0.0620028599517379</v>
      </c>
      <c r="Y152" s="35">
        <f t="shared" si="80"/>
        <v>3542.06</v>
      </c>
      <c r="Z152" s="36">
        <f t="shared" si="81"/>
        <v>-0.273331172374743</v>
      </c>
      <c r="AA152" s="37"/>
      <c r="AB152" s="38"/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82"/>
        <v>6108.28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304</v>
      </c>
      <c r="C153" s="35">
        <v>107.538322552146</v>
      </c>
      <c r="D153" s="36">
        <f t="shared" si="83"/>
        <v>-0.561941932368746</v>
      </c>
      <c r="E153" s="35">
        <v>120.331314492651</v>
      </c>
      <c r="F153" s="36">
        <f t="shared" si="70"/>
        <v>-0.369530865520701</v>
      </c>
      <c r="G153" s="35">
        <v>118.161535135653</v>
      </c>
      <c r="H153" s="36">
        <f t="shared" si="71"/>
        <v>-0.303849961742169</v>
      </c>
      <c r="I153" s="35">
        <f>网约车!AB46-网约车!AB48</f>
        <v>138.051137146091</v>
      </c>
      <c r="J153" s="36">
        <f t="shared" si="72"/>
        <v>-0.260386553574162</v>
      </c>
      <c r="K153" s="35">
        <f>网约车!AD46-网约车!AD48</f>
        <v>152.808624093314</v>
      </c>
      <c r="L153" s="36">
        <f t="shared" si="73"/>
        <v>-0.106380579712866</v>
      </c>
      <c r="M153" s="35">
        <f>网约车!AF46-网约车!AF48</f>
        <v>155.193680029632</v>
      </c>
      <c r="N153" s="36">
        <f t="shared" si="74"/>
        <v>-0.0302827439740103</v>
      </c>
      <c r="O153" s="35">
        <f>网约车!AH46-网约车!AH48</f>
        <v>167.180614376831</v>
      </c>
      <c r="P153" s="36">
        <f t="shared" si="75"/>
        <v>0.051446055664135</v>
      </c>
      <c r="Q153" s="35">
        <f>网约车!AJ46-网约车!AJ48</f>
        <v>180.861168849701</v>
      </c>
      <c r="R153" s="36">
        <f t="shared" si="76"/>
        <v>0.295576655792384</v>
      </c>
      <c r="S153" s="35">
        <f>网约车!AL46-网约车!AL48</f>
        <v>161.023409186982</v>
      </c>
      <c r="T153" s="36">
        <f t="shared" si="77"/>
        <v>0.138809962081115</v>
      </c>
      <c r="U153" s="35">
        <f>网约车!AN46-网约车!AN48</f>
        <v>208.584091965662</v>
      </c>
      <c r="V153" s="36">
        <f t="shared" si="78"/>
        <v>0.303574473041288</v>
      </c>
      <c r="W153" s="35">
        <f>网约车!AP46-网约车!AP48</f>
        <v>158.559035265503</v>
      </c>
      <c r="X153" s="36">
        <f t="shared" si="79"/>
        <v>-0.0542334510609238</v>
      </c>
      <c r="Y153" s="35">
        <f t="shared" si="80"/>
        <v>1301.149805863</v>
      </c>
      <c r="Z153" s="36">
        <f t="shared" si="81"/>
        <v>-0.167942104521706</v>
      </c>
      <c r="AA153" s="37"/>
      <c r="AB153" s="38"/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82"/>
        <v>2058.83041486272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340</v>
      </c>
      <c r="C154" s="35">
        <f>C155+C156+C157+C158</f>
        <v>11886.2847061525</v>
      </c>
      <c r="D154" s="36">
        <f t="shared" si="83"/>
        <v>0.173576282652442</v>
      </c>
      <c r="E154" s="35">
        <f>E155+E156+E157+E158</f>
        <v>11824.3385457433</v>
      </c>
      <c r="F154" s="36">
        <f t="shared" si="70"/>
        <v>0.315957294881879</v>
      </c>
      <c r="G154" s="35">
        <f>G155+G156+G157+G158</f>
        <v>12559.6873170553</v>
      </c>
      <c r="H154" s="36">
        <f t="shared" si="71"/>
        <v>0.338002557216473</v>
      </c>
      <c r="I154" s="35">
        <f>I155+I156+I157+I158</f>
        <v>12976.318745536</v>
      </c>
      <c r="J154" s="36">
        <f t="shared" si="72"/>
        <v>0.270896701440408</v>
      </c>
      <c r="K154" s="35">
        <f>K155+K156+K157+K158</f>
        <v>12588.4267141281</v>
      </c>
      <c r="L154" s="36">
        <f t="shared" si="73"/>
        <v>0.216553079556015</v>
      </c>
      <c r="M154" s="35">
        <f>M155+M156+M157+M158</f>
        <v>12233.0712295093</v>
      </c>
      <c r="N154" s="36">
        <f t="shared" si="74"/>
        <v>0.255591479823533</v>
      </c>
      <c r="O154" s="35">
        <f>O155+O156+O157+O158</f>
        <v>10034.8974738718</v>
      </c>
      <c r="P154" s="36">
        <f t="shared" si="75"/>
        <v>0.0663772081950071</v>
      </c>
      <c r="Q154" s="35">
        <f>Q155+Q156+Q157+Q158</f>
        <v>9539.86134942716</v>
      </c>
      <c r="R154" s="36">
        <f t="shared" si="76"/>
        <v>-0.0152028536326925</v>
      </c>
      <c r="S154" s="35">
        <f>S155+S156+S157+S158</f>
        <v>10038.9787612291</v>
      </c>
      <c r="T154" s="36">
        <f t="shared" si="77"/>
        <v>0.00732340541729615</v>
      </c>
      <c r="U154" s="35">
        <f>U155+U156+U157+U158</f>
        <v>10727.0780615804</v>
      </c>
      <c r="V154" s="36">
        <f t="shared" si="78"/>
        <v>-0.126666078746987</v>
      </c>
      <c r="W154" s="35">
        <f>W155+W156+W157+W158</f>
        <v>10482.8216834665</v>
      </c>
      <c r="X154" s="36">
        <f t="shared" si="79"/>
        <v>-0.127143413959383</v>
      </c>
      <c r="Y154" s="35">
        <f t="shared" si="80"/>
        <v>103681.864842653</v>
      </c>
      <c r="Z154" s="36">
        <f t="shared" si="81"/>
        <v>0.180016493186779</v>
      </c>
      <c r="AA154" s="37"/>
      <c r="AB154" s="38"/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82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301</v>
      </c>
      <c r="C155" s="35">
        <v>5287.1867</v>
      </c>
      <c r="D155" s="36">
        <f t="shared" si="83"/>
        <v>0.418697357674891</v>
      </c>
      <c r="E155" s="35">
        <v>5754.2622</v>
      </c>
      <c r="F155" s="36">
        <f t="shared" si="70"/>
        <v>0.377105338732374</v>
      </c>
      <c r="G155" s="35">
        <v>6140.7334</v>
      </c>
      <c r="H155" s="36">
        <f t="shared" si="71"/>
        <v>0.351694653162898</v>
      </c>
      <c r="I155" s="35">
        <f>中口径明细!AB155</f>
        <v>6298.517</v>
      </c>
      <c r="J155" s="36">
        <f t="shared" si="72"/>
        <v>0.32306859499254</v>
      </c>
      <c r="K155" s="35">
        <f>中口径明细!AD155</f>
        <v>5951.9289</v>
      </c>
      <c r="L155" s="36">
        <f t="shared" si="73"/>
        <v>0.221508973590812</v>
      </c>
      <c r="M155" s="35">
        <f>中口径明细!AF155</f>
        <v>5809.819</v>
      </c>
      <c r="N155" s="36">
        <f t="shared" si="74"/>
        <v>0.308953550505181</v>
      </c>
      <c r="O155" s="35">
        <f>中口径明细!AH155</f>
        <v>5215.6359</v>
      </c>
      <c r="P155" s="36">
        <f t="shared" si="75"/>
        <v>0.174158422408037</v>
      </c>
      <c r="Q155" s="35">
        <f>中口径明细!AJ155</f>
        <v>5112.6802</v>
      </c>
      <c r="R155" s="36">
        <f t="shared" si="76"/>
        <v>0.090779363774929</v>
      </c>
      <c r="S155" s="35">
        <f>中口径明细!AL155</f>
        <v>5120.6557</v>
      </c>
      <c r="T155" s="36">
        <f t="shared" si="77"/>
        <v>0.0510662255654803</v>
      </c>
      <c r="U155" s="35">
        <f>中口径明细!AN155</f>
        <v>5405.8883</v>
      </c>
      <c r="V155" s="36">
        <f t="shared" si="78"/>
        <v>-0.0713593329920346</v>
      </c>
      <c r="W155" s="35">
        <f>中口径明细!AP155</f>
        <v>5115.4008</v>
      </c>
      <c r="X155" s="36">
        <f t="shared" si="79"/>
        <v>-0.128764451796653</v>
      </c>
      <c r="Y155" s="35">
        <f t="shared" si="80"/>
        <v>50691.419</v>
      </c>
      <c r="Z155" s="36">
        <f t="shared" si="81"/>
        <v>0.250990386966965</v>
      </c>
      <c r="AA155" s="37"/>
      <c r="AB155" s="38"/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82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341</v>
      </c>
      <c r="C156" s="35">
        <v>5443.93</v>
      </c>
      <c r="D156" s="36">
        <f t="shared" si="83"/>
        <v>0.156459709266879</v>
      </c>
      <c r="E156" s="35">
        <v>5134.49</v>
      </c>
      <c r="F156" s="36">
        <f t="shared" si="70"/>
        <v>0.272188704022597</v>
      </c>
      <c r="G156" s="35">
        <f>公交!Z50-公交!Z52</f>
        <v>5508.88</v>
      </c>
      <c r="H156" s="36">
        <f t="shared" si="71"/>
        <v>0.365547978652468</v>
      </c>
      <c r="I156" s="35">
        <f>公交!AB50-公交!AB52</f>
        <v>5767.15</v>
      </c>
      <c r="J156" s="36">
        <f t="shared" si="72"/>
        <v>0.291614689131414</v>
      </c>
      <c r="K156" s="35">
        <f>公交!AD50-公交!AD52</f>
        <v>5706.22</v>
      </c>
      <c r="L156" s="36">
        <f t="shared" si="73"/>
        <v>0.269688197428235</v>
      </c>
      <c r="M156" s="35">
        <f>公交!AF50-公交!AF52</f>
        <v>5508.42</v>
      </c>
      <c r="N156" s="36">
        <f t="shared" si="74"/>
        <v>0.300296486540078</v>
      </c>
      <c r="O156" s="35">
        <f>公交!AH50-公交!AH52</f>
        <v>3899.87</v>
      </c>
      <c r="P156" s="36">
        <f t="shared" si="75"/>
        <v>-0.00198075038194701</v>
      </c>
      <c r="Q156" s="35">
        <f>公交!AJ50-公交!AJ52</f>
        <v>3522.37</v>
      </c>
      <c r="R156" s="36">
        <f t="shared" si="76"/>
        <v>-0.121914434290102</v>
      </c>
      <c r="S156" s="35">
        <f>公交!AL50-公交!AL52</f>
        <v>4052.78</v>
      </c>
      <c r="T156" s="36">
        <f t="shared" si="77"/>
        <v>-0.0115749321990908</v>
      </c>
      <c r="U156" s="35">
        <f>公交!AN50-公交!AN52</f>
        <v>4338.11</v>
      </c>
      <c r="V156" s="36">
        <f t="shared" si="78"/>
        <v>-0.190078432324349</v>
      </c>
      <c r="W156" s="35">
        <f>公交!AP50-公交!AP52</f>
        <v>4413.38</v>
      </c>
      <c r="X156" s="36">
        <f t="shared" si="79"/>
        <v>-0.139168461130356</v>
      </c>
      <c r="Y156" s="35">
        <f t="shared" si="80"/>
        <v>44544.11</v>
      </c>
      <c r="Z156" s="36">
        <f t="shared" si="81"/>
        <v>0.172449145038634</v>
      </c>
      <c r="AA156" s="37"/>
      <c r="AB156" s="38"/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82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303</v>
      </c>
      <c r="C157" s="35">
        <v>637.58</v>
      </c>
      <c r="D157" s="36">
        <f t="shared" si="83"/>
        <v>-0.433845989912623</v>
      </c>
      <c r="E157" s="35">
        <v>618.18</v>
      </c>
      <c r="F157" s="36">
        <f t="shared" si="70"/>
        <v>0.200722554580063</v>
      </c>
      <c r="G157" s="35">
        <f>出租!Z50-出租!Z52</f>
        <v>578.39</v>
      </c>
      <c r="H157" s="36">
        <f t="shared" si="71"/>
        <v>0.173442889024143</v>
      </c>
      <c r="I157" s="35">
        <f>出租!AB50-出租!AB52</f>
        <v>571.97</v>
      </c>
      <c r="J157" s="36">
        <f t="shared" si="72"/>
        <v>-0.0400610902255641</v>
      </c>
      <c r="K157" s="35">
        <f>出租!AD50-出租!AD52</f>
        <v>571.57</v>
      </c>
      <c r="L157" s="36">
        <f t="shared" si="73"/>
        <v>-0.0435735680460503</v>
      </c>
      <c r="M157" s="35">
        <f>出租!AF50-出租!AF52</f>
        <v>571.5</v>
      </c>
      <c r="N157" s="36">
        <f t="shared" si="74"/>
        <v>-0.0417183674838191</v>
      </c>
      <c r="O157" s="35">
        <f>出租!AH50-出租!AH52</f>
        <v>581.7</v>
      </c>
      <c r="P157" s="36">
        <f t="shared" si="75"/>
        <v>-0.0285246668225392</v>
      </c>
      <c r="Q157" s="35">
        <f>出租!AJ50-出租!AJ52</f>
        <v>575.09</v>
      </c>
      <c r="R157" s="36">
        <f t="shared" si="76"/>
        <v>0.0320513970891732</v>
      </c>
      <c r="S157" s="35">
        <f>出租!AL50-出租!AL52</f>
        <v>563.44</v>
      </c>
      <c r="T157" s="36">
        <f t="shared" si="77"/>
        <v>0.0089896493678594</v>
      </c>
      <c r="U157" s="35">
        <f>出租!AN50-出租!AN52</f>
        <v>558.33</v>
      </c>
      <c r="V157" s="36">
        <f t="shared" si="78"/>
        <v>-0.119381092079114</v>
      </c>
      <c r="W157" s="35">
        <f>出租!AP50-出租!AP52</f>
        <v>531.37</v>
      </c>
      <c r="X157" s="36">
        <f t="shared" si="79"/>
        <v>-0.0696163745557051</v>
      </c>
      <c r="Y157" s="35">
        <f t="shared" si="80"/>
        <v>5269.42</v>
      </c>
      <c r="Z157" s="36">
        <f t="shared" si="81"/>
        <v>-0.0654007690452204</v>
      </c>
      <c r="AA157" s="37"/>
      <c r="AB157" s="38"/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82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304</v>
      </c>
      <c r="C158" s="35">
        <v>517.588006152544</v>
      </c>
      <c r="D158" s="36">
        <f t="shared" si="83"/>
        <v>-0.0885921456086628</v>
      </c>
      <c r="E158" s="35">
        <v>317.406345743321</v>
      </c>
      <c r="F158" s="36">
        <f t="shared" si="70"/>
        <v>0.239668708632878</v>
      </c>
      <c r="G158" s="35">
        <v>331.683917055309</v>
      </c>
      <c r="H158" s="36">
        <f t="shared" si="71"/>
        <v>0.0469332911070959</v>
      </c>
      <c r="I158" s="35">
        <f>网约车!AB50-网约车!AB52</f>
        <v>338.681745536033</v>
      </c>
      <c r="J158" s="36">
        <f t="shared" si="72"/>
        <v>-0.129168471873256</v>
      </c>
      <c r="K158" s="35">
        <f>网约车!AD50-网约车!AD52</f>
        <v>358.707814128148</v>
      </c>
      <c r="L158" s="36">
        <f t="shared" si="73"/>
        <v>-0.0639506511282287</v>
      </c>
      <c r="M158" s="35">
        <f>网约车!AF50-网约车!AF52</f>
        <v>343.332229509301</v>
      </c>
      <c r="N158" s="36">
        <f t="shared" si="74"/>
        <v>-0.272128417563977</v>
      </c>
      <c r="O158" s="35">
        <f>网约车!AH50-网约车!AH52</f>
        <v>337.691573871806</v>
      </c>
      <c r="P158" s="36">
        <f t="shared" si="75"/>
        <v>-0.268843379255082</v>
      </c>
      <c r="Q158" s="35">
        <f>网约车!AJ50-网约车!AJ52</f>
        <v>329.721149427159</v>
      </c>
      <c r="R158" s="36">
        <f t="shared" si="76"/>
        <v>-0.23552232269861</v>
      </c>
      <c r="S158" s="35">
        <f>网约车!AL50-网约车!AL52</f>
        <v>302.103061229134</v>
      </c>
      <c r="T158" s="36">
        <f t="shared" si="77"/>
        <v>-0.306253308243049</v>
      </c>
      <c r="U158" s="35">
        <f>网约车!AN50-网约车!AN52</f>
        <v>424.749761580403</v>
      </c>
      <c r="V158" s="36">
        <f t="shared" si="78"/>
        <v>-0.0989299724963493</v>
      </c>
      <c r="W158" s="35">
        <f>网约车!AP50-网约车!AP52</f>
        <v>422.670883466502</v>
      </c>
      <c r="X158" s="36">
        <f t="shared" si="79"/>
        <v>-0.0401356766681608</v>
      </c>
      <c r="Y158" s="35">
        <f t="shared" si="80"/>
        <v>3176.91584265276</v>
      </c>
      <c r="Z158" s="36">
        <f t="shared" si="81"/>
        <v>-0.144428497186411</v>
      </c>
      <c r="AA158" s="37"/>
      <c r="AB158" s="38"/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82"/>
        <v>5008.31366117119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340</v>
      </c>
      <c r="C159" s="35">
        <f>C160+C161+C162+C163</f>
        <v>7533.05735901041</v>
      </c>
      <c r="D159" s="36">
        <f t="shared" si="83"/>
        <v>0.0567801640123982</v>
      </c>
      <c r="E159" s="35">
        <f>E160+E161+E162+E163</f>
        <v>7683.21528916726</v>
      </c>
      <c r="F159" s="36">
        <f t="shared" si="70"/>
        <v>0.0472053219218063</v>
      </c>
      <c r="G159" s="35">
        <f>G160+G161+G162+G163</f>
        <v>7655.0418934721</v>
      </c>
      <c r="H159" s="36">
        <f t="shared" si="71"/>
        <v>0.0452116825860001</v>
      </c>
      <c r="I159" s="35">
        <f>I160+I161+I162+I163</f>
        <v>7947.76885427214</v>
      </c>
      <c r="J159" s="36">
        <f t="shared" si="72"/>
        <v>0.035317273288092</v>
      </c>
      <c r="K159" s="35">
        <f>K160+K161+K162+K163</f>
        <v>7915.4567679171</v>
      </c>
      <c r="L159" s="36">
        <f t="shared" si="73"/>
        <v>-0.00387259643630966</v>
      </c>
      <c r="M159" s="35">
        <f>M160+M161+M162+M163</f>
        <v>7654.72171177092</v>
      </c>
      <c r="N159" s="36">
        <f t="shared" si="74"/>
        <v>0.00309043529643782</v>
      </c>
      <c r="O159" s="35">
        <f>O160+O161+O162+O163</f>
        <v>7513.09665821566</v>
      </c>
      <c r="P159" s="36">
        <f t="shared" si="75"/>
        <v>-0.0117571001846773</v>
      </c>
      <c r="Q159" s="35">
        <f>Q160+Q161+Q162+Q163</f>
        <v>7161.62665640656</v>
      </c>
      <c r="R159" s="36">
        <f t="shared" si="76"/>
        <v>-0.0356214240334479</v>
      </c>
      <c r="S159" s="35">
        <f>S160+S161+S162+S163</f>
        <v>7093.19777805973</v>
      </c>
      <c r="T159" s="36">
        <f t="shared" si="77"/>
        <v>-0.00808965757344182</v>
      </c>
      <c r="U159" s="35">
        <f>U160+U161+U162+U163</f>
        <v>7497.97982113025</v>
      </c>
      <c r="V159" s="36">
        <f t="shared" si="78"/>
        <v>-0.0181737499633357</v>
      </c>
      <c r="W159" s="35">
        <f>W160+W161+W162+W163</f>
        <v>7292.5046673586</v>
      </c>
      <c r="X159" s="36">
        <f t="shared" si="79"/>
        <v>-0.0164233324350855</v>
      </c>
      <c r="Y159" s="35">
        <f t="shared" si="80"/>
        <v>68157.1829682919</v>
      </c>
      <c r="Z159" s="36">
        <f t="shared" si="81"/>
        <v>0.0138997356861548</v>
      </c>
      <c r="AA159" s="37"/>
      <c r="AB159" s="38"/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82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301</v>
      </c>
      <c r="C160" s="35">
        <v>6597.743</v>
      </c>
      <c r="D160" s="36">
        <f t="shared" si="83"/>
        <v>0.0748073905318649</v>
      </c>
      <c r="E160" s="35">
        <v>6737.6004</v>
      </c>
      <c r="F160" s="36">
        <f t="shared" si="70"/>
        <v>0.0647162419817198</v>
      </c>
      <c r="G160" s="35">
        <v>6751.7551</v>
      </c>
      <c r="H160" s="36">
        <f t="shared" si="71"/>
        <v>0.0699416361481104</v>
      </c>
      <c r="I160" s="35">
        <f>中口径明细!AB160</f>
        <v>7061.7388</v>
      </c>
      <c r="J160" s="36">
        <f t="shared" si="72"/>
        <v>0.0446439374290464</v>
      </c>
      <c r="K160" s="35">
        <f>中口径明细!AD160</f>
        <v>7036.9949</v>
      </c>
      <c r="L160" s="36">
        <f t="shared" si="73"/>
        <v>-0.00495462818887393</v>
      </c>
      <c r="M160" s="35">
        <f>中口径明细!AF160</f>
        <v>6833.286</v>
      </c>
      <c r="N160" s="36">
        <f t="shared" si="74"/>
        <v>0.0127860780453517</v>
      </c>
      <c r="O160" s="35">
        <f>中口径明细!AH160</f>
        <v>6717.576</v>
      </c>
      <c r="P160" s="36">
        <f t="shared" si="75"/>
        <v>-0.00635451103809681</v>
      </c>
      <c r="Q160" s="35">
        <f>中口径明细!AJ160</f>
        <v>6359.2432</v>
      </c>
      <c r="R160" s="36">
        <f t="shared" si="76"/>
        <v>-0.0418301462308058</v>
      </c>
      <c r="S160" s="35">
        <f>中口径明细!AL160</f>
        <v>6290.8263</v>
      </c>
      <c r="T160" s="36">
        <f t="shared" si="77"/>
        <v>-0.0136180444863491</v>
      </c>
      <c r="U160" s="35">
        <f>中口径明细!AN160</f>
        <v>6607.9652</v>
      </c>
      <c r="V160" s="36">
        <f t="shared" si="78"/>
        <v>-0.0254421121069575</v>
      </c>
      <c r="W160" s="35">
        <f>中口径明细!AP160</f>
        <v>6390.1947</v>
      </c>
      <c r="X160" s="36">
        <f t="shared" si="79"/>
        <v>-0.026391779681641</v>
      </c>
      <c r="Y160" s="35">
        <f t="shared" si="80"/>
        <v>60386.7637</v>
      </c>
      <c r="Z160" s="36">
        <f t="shared" si="81"/>
        <v>0.021235585199165</v>
      </c>
      <c r="AA160" s="37"/>
      <c r="AB160" s="38"/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82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341</v>
      </c>
      <c r="C161" s="35">
        <v>628.17</v>
      </c>
      <c r="D161" s="36">
        <f t="shared" si="83"/>
        <v>0.0603457006853245</v>
      </c>
      <c r="E161" s="35">
        <v>643.7</v>
      </c>
      <c r="F161" s="36">
        <f t="shared" si="70"/>
        <v>0.00048182284461995</v>
      </c>
      <c r="G161" s="35">
        <f>公交!Z54-公交!Z56</f>
        <v>604.93</v>
      </c>
      <c r="H161" s="36">
        <f t="shared" si="71"/>
        <v>-0.0863878694516184</v>
      </c>
      <c r="I161" s="35">
        <f>公交!AB54-公交!AB56</f>
        <v>585.23</v>
      </c>
      <c r="J161" s="36">
        <f t="shared" si="72"/>
        <v>0.0288853727144867</v>
      </c>
      <c r="K161" s="35">
        <f>公交!AD54-公交!AD56</f>
        <v>548.41</v>
      </c>
      <c r="L161" s="36">
        <f t="shared" si="73"/>
        <v>0.0289890423296306</v>
      </c>
      <c r="M161" s="35">
        <f>公交!AF54-公交!AF56</f>
        <v>498.05</v>
      </c>
      <c r="N161" s="36">
        <f t="shared" si="74"/>
        <v>-0.0376589249140163</v>
      </c>
      <c r="O161" s="35">
        <f>公交!AH54-公交!AH56</f>
        <v>466.28</v>
      </c>
      <c r="P161" s="36">
        <f t="shared" si="75"/>
        <v>-0.052295685047052</v>
      </c>
      <c r="Q161" s="35">
        <f>公交!AJ54-公交!AJ56</f>
        <v>464.79</v>
      </c>
      <c r="R161" s="36">
        <f t="shared" si="76"/>
        <v>0.0512756717633223</v>
      </c>
      <c r="S161" s="35">
        <f>公交!AL54-公交!AL56</f>
        <v>475.35</v>
      </c>
      <c r="T161" s="36">
        <f t="shared" si="77"/>
        <v>0.0880064087891965</v>
      </c>
      <c r="U161" s="35">
        <f>公交!AN54-公交!AN56</f>
        <v>547.91</v>
      </c>
      <c r="V161" s="36">
        <f t="shared" si="78"/>
        <v>0.0865624876056001</v>
      </c>
      <c r="W161" s="35">
        <f>公交!AP54-公交!AP56</f>
        <v>546.39</v>
      </c>
      <c r="X161" s="36">
        <f t="shared" si="79"/>
        <v>0.0846882258352688</v>
      </c>
      <c r="Y161" s="35">
        <f t="shared" si="80"/>
        <v>4914.91</v>
      </c>
      <c r="Z161" s="36">
        <f t="shared" si="81"/>
        <v>0.00544978080179703</v>
      </c>
      <c r="AA161" s="37"/>
      <c r="AB161" s="38"/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82"/>
        <v>6475.11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303</v>
      </c>
      <c r="C162" s="35">
        <v>269.97</v>
      </c>
      <c r="D162" s="36">
        <f t="shared" si="83"/>
        <v>0.00278582571874297</v>
      </c>
      <c r="E162" s="35">
        <v>261.43</v>
      </c>
      <c r="F162" s="36">
        <f t="shared" si="70"/>
        <v>-0.0570264031164334</v>
      </c>
      <c r="G162" s="35">
        <f>出租!Z54-出租!Z56</f>
        <v>255.72</v>
      </c>
      <c r="H162" s="36">
        <f t="shared" si="71"/>
        <v>-0.0141485793592663</v>
      </c>
      <c r="I162" s="35">
        <f>出租!AB54-出租!AB56</f>
        <v>251.54</v>
      </c>
      <c r="J162" s="36">
        <f t="shared" si="72"/>
        <v>0.0035507680031921</v>
      </c>
      <c r="K162" s="35">
        <f>出租!AD54-出租!AD56</f>
        <v>276.61</v>
      </c>
      <c r="L162" s="36">
        <f t="shared" si="73"/>
        <v>0.0817755181853737</v>
      </c>
      <c r="M162" s="35">
        <f>出租!AF54-出租!AF56</f>
        <v>269.77</v>
      </c>
      <c r="N162" s="36">
        <f t="shared" si="74"/>
        <v>-0.035122858471333</v>
      </c>
      <c r="O162" s="35">
        <f>出租!AH54-出租!AH56</f>
        <v>264.4</v>
      </c>
      <c r="P162" s="36">
        <f t="shared" si="75"/>
        <v>0.0602718851505799</v>
      </c>
      <c r="Q162" s="35">
        <f>出租!AJ54-出租!AJ56</f>
        <v>265.25</v>
      </c>
      <c r="R162" s="36">
        <f t="shared" si="76"/>
        <v>0.0517446471054719</v>
      </c>
      <c r="S162" s="35">
        <f>出租!AL54-出租!AL56</f>
        <v>259.37</v>
      </c>
      <c r="T162" s="36">
        <f t="shared" si="77"/>
        <v>0.0233172887240589</v>
      </c>
      <c r="U162" s="35">
        <f>出租!AN54-出租!AN56</f>
        <v>257.48</v>
      </c>
      <c r="V162" s="36">
        <f t="shared" si="78"/>
        <v>-0.00332894634977143</v>
      </c>
      <c r="W162" s="35">
        <f>出租!AP54-出租!AP56</f>
        <v>248.7</v>
      </c>
      <c r="X162" s="36">
        <f t="shared" si="79"/>
        <v>-0.00781935689778968</v>
      </c>
      <c r="Y162" s="35">
        <f t="shared" si="80"/>
        <v>2374.06</v>
      </c>
      <c r="Z162" s="36">
        <f t="shared" si="81"/>
        <v>0.011607196120708</v>
      </c>
      <c r="AA162" s="37"/>
      <c r="AB162" s="38"/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82"/>
        <v>3109.48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304</v>
      </c>
      <c r="C163" s="35">
        <v>37.1743590104078</v>
      </c>
      <c r="D163" s="36">
        <f t="shared" si="83"/>
        <v>-0.709882454723858</v>
      </c>
      <c r="E163" s="35">
        <v>40.4848891672623</v>
      </c>
      <c r="F163" s="36">
        <f t="shared" ref="F163:F188" si="84">E163/AE163-1</f>
        <v>-0.540853912657043</v>
      </c>
      <c r="G163" s="35">
        <v>42.6367934720947</v>
      </c>
      <c r="H163" s="36">
        <f t="shared" ref="H163:H188" si="85">G163/AG163-1</f>
        <v>-0.536554865161984</v>
      </c>
      <c r="I163" s="35">
        <f>网约车!AB54-网约车!AB56</f>
        <v>49.2600542721448</v>
      </c>
      <c r="J163" s="36">
        <f t="shared" ref="J163:J188" si="86">I163/AI163-1</f>
        <v>-0.493482331972902</v>
      </c>
      <c r="K163" s="35">
        <f>网约车!AD54-网约车!AD56</f>
        <v>53.4418679170977</v>
      </c>
      <c r="L163" s="36">
        <f t="shared" ref="L163:L188" si="87">K163/AK163-1</f>
        <v>-0.375205460569601</v>
      </c>
      <c r="M163" s="35">
        <f>网约车!AF54-网约车!AF56</f>
        <v>53.6157117709192</v>
      </c>
      <c r="N163" s="36">
        <f t="shared" ref="N163:N188" si="88">M163/AM163-1</f>
        <v>-0.383657124125681</v>
      </c>
      <c r="O163" s="35">
        <f>网约车!AH54-网约车!AH56</f>
        <v>64.8406582156566</v>
      </c>
      <c r="P163" s="36">
        <f t="shared" ref="P163:P188" si="89">O163/AO163-1</f>
        <v>-0.355229116935159</v>
      </c>
      <c r="Q163" s="35">
        <f>网约车!AJ54-网约车!AJ56</f>
        <v>72.3434564065568</v>
      </c>
      <c r="R163" s="36">
        <f t="shared" ref="R163:R188" si="90">Q163/AQ163-1</f>
        <v>-0.238271370714831</v>
      </c>
      <c r="S163" s="35">
        <f>网约车!AL54-网约车!AL56</f>
        <v>67.6514780597338</v>
      </c>
      <c r="T163" s="36">
        <f t="shared" ref="T163:T188" si="91">S163/AS163-1</f>
        <v>-0.185015252354027</v>
      </c>
      <c r="U163" s="35">
        <f>网约车!AN54-网约车!AN56</f>
        <v>84.624621130251</v>
      </c>
      <c r="V163" s="36">
        <f t="shared" ref="V163:V188" si="92">U163/AU163-1</f>
        <v>-0.0967953859592191</v>
      </c>
      <c r="W163" s="35">
        <f>网约车!AP54-网约车!AP56</f>
        <v>107.219967358605</v>
      </c>
      <c r="X163" s="36">
        <f t="shared" ref="X163:X188" si="93">W163/AW163-1</f>
        <v>0.111469946071157</v>
      </c>
      <c r="Y163" s="35">
        <f t="shared" ref="Y163:Y188" si="94">E163+C163+G163+I163+K163+M163+O163+Q163+S163</f>
        <v>481.449268291874</v>
      </c>
      <c r="Z163" s="36">
        <f t="shared" ref="Z163:Z188" si="95">Y163/SUM(AC163,AE163,AG163,AI163,AK163,AM163,AO163,AQ163,AS163)-1</f>
        <v>-0.437974983241673</v>
      </c>
      <c r="AA163" s="37"/>
      <c r="AB163" s="38"/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96">AC163+AE163+AG163+AI163+AK163+AM163+AO163+AQ163+AS163+AU163+AW163+AY163</f>
        <v>1148.74706077322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340</v>
      </c>
      <c r="C164" s="35">
        <f>C165+C166+C167+C168</f>
        <v>14819.4047816921</v>
      </c>
      <c r="D164" s="36">
        <f t="shared" si="83"/>
        <v>-0.0380002769577311</v>
      </c>
      <c r="E164" s="35">
        <f>E165+E166+E167+E168</f>
        <v>15964.8747264776</v>
      </c>
      <c r="F164" s="36">
        <f t="shared" si="84"/>
        <v>-0.030695181826085</v>
      </c>
      <c r="G164" s="35">
        <f>G165+G166+G167+G168</f>
        <v>16440.9486351396</v>
      </c>
      <c r="H164" s="36">
        <f t="shared" si="85"/>
        <v>-0.000736386932788768</v>
      </c>
      <c r="I164" s="35">
        <f>I165+I166+I167+I168</f>
        <v>19103.4057065786</v>
      </c>
      <c r="J164" s="36">
        <f t="shared" si="86"/>
        <v>0.0216040823334771</v>
      </c>
      <c r="K164" s="35">
        <f>K165+K166+K167+K168</f>
        <v>18965.5747424526</v>
      </c>
      <c r="L164" s="36">
        <f t="shared" si="87"/>
        <v>-0.0339504228962418</v>
      </c>
      <c r="M164" s="35">
        <f>M165+M166+M167+M168</f>
        <v>17101.1097411211</v>
      </c>
      <c r="N164" s="36">
        <f t="shared" si="88"/>
        <v>-0.0960145138058757</v>
      </c>
      <c r="O164" s="35">
        <f>O165+O166+O167+O168</f>
        <v>19677.8668717389</v>
      </c>
      <c r="P164" s="36">
        <f t="shared" si="89"/>
        <v>-0.071283965965209</v>
      </c>
      <c r="Q164" s="35">
        <f>Q165+Q166+Q167+Q168</f>
        <v>17991.0440077224</v>
      </c>
      <c r="R164" s="36">
        <f t="shared" si="90"/>
        <v>-0.129143797818265</v>
      </c>
      <c r="S164" s="35">
        <f>S165+S166+S167+S168</f>
        <v>15311.527410868</v>
      </c>
      <c r="T164" s="36">
        <f t="shared" si="91"/>
        <v>-0.168124857336591</v>
      </c>
      <c r="U164" s="35">
        <f>U165+U166+U167+U168</f>
        <v>14230.7837427687</v>
      </c>
      <c r="V164" s="36">
        <f t="shared" si="92"/>
        <v>-0.213321908275827</v>
      </c>
      <c r="W164" s="35">
        <f>W165+W166+W167+W168</f>
        <v>14272.8937544219</v>
      </c>
      <c r="X164" s="36">
        <f t="shared" si="93"/>
        <v>-0.14175039689386</v>
      </c>
      <c r="Y164" s="35">
        <f t="shared" si="94"/>
        <v>155375.756623791</v>
      </c>
      <c r="Z164" s="36">
        <f t="shared" si="95"/>
        <v>-0.063045250215613</v>
      </c>
      <c r="AA164" s="37"/>
      <c r="AB164" s="38"/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96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301</v>
      </c>
      <c r="C165" s="35">
        <v>9809.9543</v>
      </c>
      <c r="D165" s="36">
        <f t="shared" si="83"/>
        <v>-0.0789879049518225</v>
      </c>
      <c r="E165" s="35">
        <v>11856.9209</v>
      </c>
      <c r="F165" s="36">
        <f t="shared" si="84"/>
        <v>-0.0759822229545628</v>
      </c>
      <c r="G165" s="35">
        <v>11735.9405</v>
      </c>
      <c r="H165" s="36">
        <f t="shared" si="85"/>
        <v>-0.0160517928950228</v>
      </c>
      <c r="I165" s="35">
        <f>中口径明细!AB165</f>
        <v>14233.1319</v>
      </c>
      <c r="J165" s="36">
        <f t="shared" si="86"/>
        <v>0.0358616823576945</v>
      </c>
      <c r="K165" s="35">
        <f>中口径明细!AD165</f>
        <v>14074.4332</v>
      </c>
      <c r="L165" s="36">
        <f t="shared" si="87"/>
        <v>-0.0407968754848388</v>
      </c>
      <c r="M165" s="35">
        <f>中口径明细!AF165</f>
        <v>12391.6582</v>
      </c>
      <c r="N165" s="36">
        <f t="shared" si="88"/>
        <v>-0.113889138295201</v>
      </c>
      <c r="O165" s="35">
        <f>中口径明细!AH165</f>
        <v>14757.5267</v>
      </c>
      <c r="P165" s="36">
        <f t="shared" si="89"/>
        <v>-0.0475360397317872</v>
      </c>
      <c r="Q165" s="35">
        <f>中口径明细!AJ165</f>
        <v>14360.2888</v>
      </c>
      <c r="R165" s="36">
        <f t="shared" si="90"/>
        <v>-0.0551707968798998</v>
      </c>
      <c r="S165" s="35">
        <f>中口径明细!AL165</f>
        <v>11934.8122</v>
      </c>
      <c r="T165" s="36">
        <f t="shared" si="91"/>
        <v>-0.0946443498057074</v>
      </c>
      <c r="U165" s="35">
        <f>中口径明细!AN165</f>
        <v>11428.8009</v>
      </c>
      <c r="V165" s="36">
        <f t="shared" si="92"/>
        <v>-0.106839257806364</v>
      </c>
      <c r="W165" s="35">
        <f>中口径明细!AP165</f>
        <v>11283.7082</v>
      </c>
      <c r="X165" s="36">
        <f t="shared" si="93"/>
        <v>0.00118111194063908</v>
      </c>
      <c r="Y165" s="35">
        <f t="shared" si="94"/>
        <v>115154.6667</v>
      </c>
      <c r="Z165" s="36">
        <f t="shared" si="95"/>
        <v>-0.0536555274996676</v>
      </c>
      <c r="AA165" s="37"/>
      <c r="AB165" s="38"/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96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341</v>
      </c>
      <c r="C166" s="35">
        <v>3503.52</v>
      </c>
      <c r="D166" s="36">
        <f t="shared" si="83"/>
        <v>-0.0619281837630294</v>
      </c>
      <c r="E166" s="35">
        <v>2722.58</v>
      </c>
      <c r="F166" s="36">
        <f t="shared" si="84"/>
        <v>-0.00957473898650374</v>
      </c>
      <c r="G166" s="35">
        <f>公交!Z58-公交!Z60</f>
        <v>3359.39</v>
      </c>
      <c r="H166" s="36">
        <f t="shared" si="85"/>
        <v>-0.0822492255071767</v>
      </c>
      <c r="I166" s="35">
        <f>公交!AB58-公交!AB60</f>
        <v>3436.97</v>
      </c>
      <c r="J166" s="36">
        <f t="shared" si="86"/>
        <v>-0.113922647375776</v>
      </c>
      <c r="K166" s="35">
        <f>公交!AD58-公交!AD60</f>
        <v>3378.45</v>
      </c>
      <c r="L166" s="36">
        <f t="shared" si="87"/>
        <v>-0.118551778837624</v>
      </c>
      <c r="M166" s="35">
        <f>公交!AF58-公交!AF60</f>
        <v>3156.96</v>
      </c>
      <c r="N166" s="36">
        <f t="shared" si="88"/>
        <v>-0.175489502179483</v>
      </c>
      <c r="O166" s="35">
        <f>公交!AH58-公交!AH60</f>
        <v>3291.04</v>
      </c>
      <c r="P166" s="36">
        <f t="shared" si="89"/>
        <v>-0.174671163997944</v>
      </c>
      <c r="Q166" s="35">
        <f>公交!AJ58-公交!AJ60</f>
        <v>1961.26</v>
      </c>
      <c r="R166" s="36">
        <f t="shared" si="90"/>
        <v>-0.472581078900661</v>
      </c>
      <c r="S166" s="35">
        <f>公交!AL58-公交!AL60</f>
        <v>1754.73</v>
      </c>
      <c r="T166" s="36">
        <f t="shared" si="91"/>
        <v>-0.494736387457169</v>
      </c>
      <c r="U166" s="35">
        <f>公交!AN58-公交!AN60</f>
        <v>926.36</v>
      </c>
      <c r="V166" s="36">
        <f t="shared" si="92"/>
        <v>-0.735502549723899</v>
      </c>
      <c r="W166" s="35">
        <f>公交!AP58-公交!AP60</f>
        <v>966.26</v>
      </c>
      <c r="X166" s="36">
        <f t="shared" si="93"/>
        <v>-0.731177769987926</v>
      </c>
      <c r="Y166" s="35">
        <f t="shared" si="94"/>
        <v>26564.9</v>
      </c>
      <c r="Z166" s="36">
        <f t="shared" si="95"/>
        <v>-0.191667064774291</v>
      </c>
      <c r="AA166" s="37"/>
      <c r="AB166" s="38"/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96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303</v>
      </c>
      <c r="C167" s="35">
        <v>1328.69</v>
      </c>
      <c r="D167" s="36">
        <f t="shared" si="83"/>
        <v>0.51526452039641</v>
      </c>
      <c r="E167" s="35">
        <v>1200.91</v>
      </c>
      <c r="F167" s="36">
        <f t="shared" si="84"/>
        <v>0.54910155695729</v>
      </c>
      <c r="G167" s="35">
        <f>出租!Z58-出租!Z60</f>
        <v>1123.7</v>
      </c>
      <c r="H167" s="36">
        <f t="shared" si="85"/>
        <v>0.505795644891122</v>
      </c>
      <c r="I167" s="35">
        <f>出租!AB58-出租!AB60</f>
        <v>1157</v>
      </c>
      <c r="J167" s="36">
        <f t="shared" si="86"/>
        <v>0.283943493169687</v>
      </c>
      <c r="K167" s="35">
        <f>出租!AD58-出租!AD60</f>
        <v>1170.23</v>
      </c>
      <c r="L167" s="36">
        <f t="shared" si="87"/>
        <v>0.279905065021711</v>
      </c>
      <c r="M167" s="35">
        <f>出租!AF58-出租!AF60</f>
        <v>1151.91</v>
      </c>
      <c r="N167" s="36">
        <f t="shared" si="88"/>
        <v>0.329244510091277</v>
      </c>
      <c r="O167" s="35">
        <f>出租!AH58-出租!AH60</f>
        <v>1198.98</v>
      </c>
      <c r="P167" s="36">
        <f t="shared" si="89"/>
        <v>-0.135084833795014</v>
      </c>
      <c r="Q167" s="35">
        <f>出租!AJ58-出租!AJ60</f>
        <v>1210.96</v>
      </c>
      <c r="R167" s="36">
        <f t="shared" si="90"/>
        <v>-0.164739964132984</v>
      </c>
      <c r="S167" s="35">
        <f>出租!AL58-出租!AL60</f>
        <v>1229.41</v>
      </c>
      <c r="T167" s="36">
        <f t="shared" si="91"/>
        <v>-0.149573891148557</v>
      </c>
      <c r="U167" s="35">
        <f>出租!AN58-出租!AN60</f>
        <v>1250.61</v>
      </c>
      <c r="V167" s="36">
        <f t="shared" si="92"/>
        <v>-0.152760653072285</v>
      </c>
      <c r="W167" s="35">
        <f>出租!AP58-出租!AP60</f>
        <v>1359.49</v>
      </c>
      <c r="X167" s="36">
        <f t="shared" si="93"/>
        <v>-0.0581988223068928</v>
      </c>
      <c r="Y167" s="35">
        <f t="shared" si="94"/>
        <v>10771.79</v>
      </c>
      <c r="Z167" s="36">
        <f t="shared" si="95"/>
        <v>0.150579039228546</v>
      </c>
      <c r="AA167" s="37"/>
      <c r="AB167" s="38"/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96"/>
        <v>13648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304</v>
      </c>
      <c r="C168" s="35">
        <v>177.240481692115</v>
      </c>
      <c r="D168" s="36">
        <f t="shared" si="83"/>
        <v>0.249626105466804</v>
      </c>
      <c r="E168" s="35">
        <v>184.463826477608</v>
      </c>
      <c r="F168" s="36">
        <f t="shared" si="84"/>
        <v>0.612598135719298</v>
      </c>
      <c r="G168" s="35">
        <v>221.918135139582</v>
      </c>
      <c r="H168" s="36">
        <f t="shared" si="85"/>
        <v>0.865518941671895</v>
      </c>
      <c r="I168" s="35">
        <f>网约车!AB58-网约车!AB60</f>
        <v>276.303806578552</v>
      </c>
      <c r="J168" s="36">
        <f t="shared" si="86"/>
        <v>0.543139284627159</v>
      </c>
      <c r="K168" s="35">
        <f>网约车!AD58-网约车!AD60</f>
        <v>342.46154245264</v>
      </c>
      <c r="L168" s="36">
        <f t="shared" si="87"/>
        <v>0.616185956293481</v>
      </c>
      <c r="M168" s="35">
        <f>网约车!AF58-网约车!AF60</f>
        <v>400.581541121079</v>
      </c>
      <c r="N168" s="36">
        <f t="shared" si="88"/>
        <v>0.685522794969885</v>
      </c>
      <c r="O168" s="35">
        <f>网约车!AH58-网约车!AH60</f>
        <v>430.320171738886</v>
      </c>
      <c r="P168" s="36">
        <f t="shared" si="89"/>
        <v>0.343043550348274</v>
      </c>
      <c r="Q168" s="35">
        <f>网约车!AJ58-网约车!AJ60</f>
        <v>458.535207722418</v>
      </c>
      <c r="R168" s="36">
        <f t="shared" si="90"/>
        <v>0.571349895828713</v>
      </c>
      <c r="S168" s="35">
        <f>网约车!AL58-网约车!AL60</f>
        <v>392.575210868005</v>
      </c>
      <c r="T168" s="36">
        <f t="shared" si="91"/>
        <v>0.28695034707042</v>
      </c>
      <c r="U168" s="35">
        <f>网约车!AN58-网约车!AN60</f>
        <v>625.012842768737</v>
      </c>
      <c r="V168" s="36">
        <f t="shared" si="92"/>
        <v>0.981836044608212</v>
      </c>
      <c r="W168" s="35">
        <f>网约车!AP58-网约车!AP60</f>
        <v>663.435554421917</v>
      </c>
      <c r="X168" s="36">
        <f t="shared" si="93"/>
        <v>1.06087242698559</v>
      </c>
      <c r="Y168" s="35">
        <f t="shared" si="94"/>
        <v>2884.39992379089</v>
      </c>
      <c r="Z168" s="36">
        <f t="shared" si="95"/>
        <v>0.501470974128406</v>
      </c>
      <c r="AA168" s="37"/>
      <c r="AB168" s="38"/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96"/>
        <v>2886.71690757872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340</v>
      </c>
      <c r="C169" s="35">
        <f>C170+C171+C172+C173</f>
        <v>1052.83835010239</v>
      </c>
      <c r="D169" s="36">
        <f t="shared" si="83"/>
        <v>-0.0644446811527383</v>
      </c>
      <c r="E169" s="35">
        <f>E170+E171+E172+E173</f>
        <v>1054.90795261523</v>
      </c>
      <c r="F169" s="36">
        <f t="shared" si="84"/>
        <v>-0.0433912510290596</v>
      </c>
      <c r="G169" s="35">
        <f>G170+G171+G172+G173</f>
        <v>1046.29964826801</v>
      </c>
      <c r="H169" s="36">
        <f t="shared" si="85"/>
        <v>-0.0390265226108676</v>
      </c>
      <c r="I169" s="35">
        <f>I170+I171+I172+I173</f>
        <v>1014.71846091887</v>
      </c>
      <c r="J169" s="36">
        <f t="shared" si="86"/>
        <v>-0.0783745491732155</v>
      </c>
      <c r="K169" s="35">
        <f>K170+K171+K172+K173</f>
        <v>1047.07486141467</v>
      </c>
      <c r="L169" s="36">
        <f t="shared" si="87"/>
        <v>-0.0487719237858475</v>
      </c>
      <c r="M169" s="35">
        <f>M170+M171+M172+M173</f>
        <v>1225.0341283718</v>
      </c>
      <c r="N169" s="36">
        <f t="shared" si="88"/>
        <v>0.0356243877518188</v>
      </c>
      <c r="O169" s="35">
        <f>O170+O171+O172+O173</f>
        <v>844.551511198551</v>
      </c>
      <c r="P169" s="36">
        <f t="shared" si="89"/>
        <v>-0.197134176184172</v>
      </c>
      <c r="Q169" s="35">
        <f>Q170+Q171+Q172+Q173</f>
        <v>838.746729949297</v>
      </c>
      <c r="R169" s="36">
        <f t="shared" si="90"/>
        <v>-0.249472776972846</v>
      </c>
      <c r="S169" s="35">
        <f>S170+S171+S172+S173</f>
        <v>877.477566273299</v>
      </c>
      <c r="T169" s="36">
        <f t="shared" si="91"/>
        <v>-0.121565094549796</v>
      </c>
      <c r="U169" s="35">
        <f>U170+U171+U172+U173</f>
        <v>815.048959631178</v>
      </c>
      <c r="V169" s="36">
        <f t="shared" si="92"/>
        <v>-0.271482740755791</v>
      </c>
      <c r="W169" s="35">
        <f>W170+W171+W172+W173</f>
        <v>805.85750006362</v>
      </c>
      <c r="X169" s="36">
        <f t="shared" si="93"/>
        <v>-0.22343697655916</v>
      </c>
      <c r="Y169" s="35">
        <f t="shared" si="94"/>
        <v>9001.64920911212</v>
      </c>
      <c r="Z169" s="36">
        <f t="shared" si="95"/>
        <v>-0.0879742699986131</v>
      </c>
      <c r="AA169" s="37"/>
      <c r="AB169" s="38"/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96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301</v>
      </c>
      <c r="C170" s="35">
        <v>320.1376</v>
      </c>
      <c r="D170" s="36">
        <f t="shared" si="83"/>
        <v>-0.167136858645826</v>
      </c>
      <c r="E170" s="35">
        <v>322.2116</v>
      </c>
      <c r="F170" s="36">
        <f t="shared" si="84"/>
        <v>-0.0959392241630866</v>
      </c>
      <c r="G170" s="35">
        <v>316.2177</v>
      </c>
      <c r="H170" s="36">
        <f t="shared" si="85"/>
        <v>-0.0850161111484055</v>
      </c>
      <c r="I170" s="35">
        <f>中口径明细!AB170</f>
        <v>316.3553</v>
      </c>
      <c r="J170" s="36">
        <f t="shared" si="86"/>
        <v>-0.0986681823944795</v>
      </c>
      <c r="K170" s="35">
        <f>中口径明细!AD170</f>
        <v>325.2936</v>
      </c>
      <c r="L170" s="36">
        <f t="shared" si="87"/>
        <v>-0.0816077967470263</v>
      </c>
      <c r="M170" s="35">
        <f>中口径明细!AF170</f>
        <v>472.8138</v>
      </c>
      <c r="N170" s="36">
        <f t="shared" si="88"/>
        <v>0.280218280593562</v>
      </c>
      <c r="O170" s="35">
        <f>中口径明细!AH170</f>
        <v>479.6233</v>
      </c>
      <c r="P170" s="36">
        <f t="shared" si="89"/>
        <v>0.288570750005239</v>
      </c>
      <c r="Q170" s="35">
        <f>中口径明细!AJ170</f>
        <v>481.2883</v>
      </c>
      <c r="R170" s="36">
        <f t="shared" si="90"/>
        <v>0.295588431645752</v>
      </c>
      <c r="S170" s="35">
        <f>中口径明细!AL170</f>
        <v>526.2857</v>
      </c>
      <c r="T170" s="36">
        <f t="shared" si="91"/>
        <v>0.398572688957274</v>
      </c>
      <c r="U170" s="35">
        <f>中口径明细!AN170</f>
        <v>445.2084</v>
      </c>
      <c r="V170" s="36">
        <f t="shared" si="92"/>
        <v>0.137854969165786</v>
      </c>
      <c r="W170" s="35">
        <f>中口径明细!AP170</f>
        <v>440.1304</v>
      </c>
      <c r="X170" s="36">
        <f t="shared" si="93"/>
        <v>0.107099511586766</v>
      </c>
      <c r="Y170" s="35">
        <f t="shared" si="94"/>
        <v>3560.2269</v>
      </c>
      <c r="Z170" s="36">
        <f t="shared" si="95"/>
        <v>0.0851398922872229</v>
      </c>
      <c r="AA170" s="37"/>
      <c r="AB170" s="38"/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96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341</v>
      </c>
      <c r="C171" s="35">
        <v>675.3</v>
      </c>
      <c r="D171" s="36">
        <f t="shared" si="83"/>
        <v>0.291698546289212</v>
      </c>
      <c r="E171" s="35">
        <v>661.8</v>
      </c>
      <c r="F171" s="36">
        <f t="shared" si="84"/>
        <v>0.103183863977329</v>
      </c>
      <c r="G171" s="35">
        <f>公交!Z62-公交!Z64</f>
        <v>647.9</v>
      </c>
      <c r="H171" s="36">
        <f t="shared" si="85"/>
        <v>0.0473650177820888</v>
      </c>
      <c r="I171" s="35">
        <f>公交!AB62-公交!AB64</f>
        <v>638.4</v>
      </c>
      <c r="J171" s="36">
        <f t="shared" si="86"/>
        <v>0.0237331622835149</v>
      </c>
      <c r="K171" s="35">
        <f>公交!AD62-公交!AD64</f>
        <v>657.9</v>
      </c>
      <c r="L171" s="36">
        <f t="shared" si="87"/>
        <v>0.0601031260070897</v>
      </c>
      <c r="M171" s="35">
        <f>公交!AF62-公交!AF64</f>
        <v>686</v>
      </c>
      <c r="N171" s="36">
        <f t="shared" si="88"/>
        <v>0.107523409751372</v>
      </c>
      <c r="O171" s="35">
        <f>公交!AH62-公交!AH64</f>
        <v>290.68</v>
      </c>
      <c r="P171" s="36">
        <f t="shared" si="89"/>
        <v>-0.471586984184694</v>
      </c>
      <c r="Q171" s="35">
        <f>公交!AJ62-公交!AJ64</f>
        <v>284.1</v>
      </c>
      <c r="R171" s="36">
        <f t="shared" si="90"/>
        <v>-0.492497320471597</v>
      </c>
      <c r="S171" s="35">
        <f>公交!AL62-公交!AL64</f>
        <v>277.4</v>
      </c>
      <c r="T171" s="36">
        <f t="shared" si="91"/>
        <v>-0.453614339176679</v>
      </c>
      <c r="U171" s="35">
        <f>公交!AN62-公交!AN64</f>
        <v>290.2</v>
      </c>
      <c r="V171" s="36">
        <f t="shared" si="92"/>
        <v>-0.51463455427329</v>
      </c>
      <c r="W171" s="35">
        <f>公交!AP62-公交!AP64</f>
        <v>268.2</v>
      </c>
      <c r="X171" s="36">
        <f t="shared" si="93"/>
        <v>-0.493293028528245</v>
      </c>
      <c r="Y171" s="35">
        <f t="shared" si="94"/>
        <v>4819.48</v>
      </c>
      <c r="Z171" s="36">
        <f t="shared" si="95"/>
        <v>-0.0771699377692677</v>
      </c>
      <c r="AA171" s="37"/>
      <c r="AB171" s="38"/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96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303</v>
      </c>
      <c r="C172" s="35">
        <v>46</v>
      </c>
      <c r="D172" s="36">
        <f t="shared" ref="D172:D188" si="97">C172/AC172-1</f>
        <v>-0.516806722689076</v>
      </c>
      <c r="E172" s="35">
        <v>54.4</v>
      </c>
      <c r="F172" s="36">
        <f t="shared" si="84"/>
        <v>-0.32397166645955</v>
      </c>
      <c r="G172" s="35">
        <f>出租!Z62-出租!Z64</f>
        <v>56</v>
      </c>
      <c r="H172" s="36">
        <f t="shared" si="85"/>
        <v>0.039346696362287</v>
      </c>
      <c r="I172" s="35">
        <f>出租!AB62-出租!AB64</f>
        <v>43.6</v>
      </c>
      <c r="J172" s="36">
        <f t="shared" si="86"/>
        <v>-0.116514690982776</v>
      </c>
      <c r="K172" s="35">
        <f>出租!AD62-出租!AD64</f>
        <v>42.8</v>
      </c>
      <c r="L172" s="36">
        <f t="shared" si="87"/>
        <v>-0.0813479287400728</v>
      </c>
      <c r="M172" s="35">
        <f>出租!AF62-出租!AF64</f>
        <v>43.6</v>
      </c>
      <c r="N172" s="36">
        <f t="shared" si="88"/>
        <v>-0.0828775767774507</v>
      </c>
      <c r="O172" s="35">
        <f>出租!AH62-出租!AH64</f>
        <v>45.88</v>
      </c>
      <c r="P172" s="36">
        <f t="shared" si="89"/>
        <v>-0.0663410663410664</v>
      </c>
      <c r="Q172" s="35">
        <f>出租!AJ62-出租!AJ64</f>
        <v>47.36</v>
      </c>
      <c r="R172" s="36">
        <f t="shared" si="90"/>
        <v>-0.103200151486461</v>
      </c>
      <c r="S172" s="35">
        <f>出租!AL62-出租!AL64</f>
        <v>48.68</v>
      </c>
      <c r="T172" s="36">
        <f t="shared" si="91"/>
        <v>0.00516208961387576</v>
      </c>
      <c r="U172" s="35">
        <f>出租!AN62-出租!AN64</f>
        <v>48.42</v>
      </c>
      <c r="V172" s="36">
        <f t="shared" si="92"/>
        <v>-0.128823317740195</v>
      </c>
      <c r="W172" s="35">
        <f>出租!AP62-出租!AP64</f>
        <v>47.52</v>
      </c>
      <c r="X172" s="36">
        <f t="shared" si="93"/>
        <v>0.0330434782608697</v>
      </c>
      <c r="Y172" s="35">
        <f t="shared" si="94"/>
        <v>428.32</v>
      </c>
      <c r="Z172" s="36">
        <f t="shared" si="95"/>
        <v>-0.181674022276991</v>
      </c>
      <c r="AA172" s="37"/>
      <c r="AB172" s="38"/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96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304</v>
      </c>
      <c r="C173" s="35">
        <v>11.4007501023882</v>
      </c>
      <c r="D173" s="36">
        <f t="shared" si="97"/>
        <v>-0.907295856925542</v>
      </c>
      <c r="E173" s="35">
        <v>16.496352615231</v>
      </c>
      <c r="F173" s="36">
        <f t="shared" si="84"/>
        <v>-0.749991632109069</v>
      </c>
      <c r="G173" s="35">
        <v>26.1819482680106</v>
      </c>
      <c r="H173" s="36">
        <f t="shared" si="85"/>
        <v>-0.629739253703353</v>
      </c>
      <c r="I173" s="35">
        <f>网约车!AB62-网约车!AB64</f>
        <v>16.3631609188679</v>
      </c>
      <c r="J173" s="36">
        <f t="shared" si="86"/>
        <v>-0.787692946406733</v>
      </c>
      <c r="K173" s="35">
        <f>网约车!AD62-网约车!AD64</f>
        <v>21.0812614146743</v>
      </c>
      <c r="L173" s="36">
        <f t="shared" si="87"/>
        <v>-0.734399593764793</v>
      </c>
      <c r="M173" s="35">
        <f>网约车!AF62-网约车!AF64</f>
        <v>22.6203283718012</v>
      </c>
      <c r="N173" s="36">
        <f t="shared" si="88"/>
        <v>-0.8457334417311</v>
      </c>
      <c r="O173" s="35">
        <f>网约车!AH62-网约车!AH64</f>
        <v>28.3682111985508</v>
      </c>
      <c r="P173" s="36">
        <f t="shared" si="89"/>
        <v>-0.647458464468727</v>
      </c>
      <c r="Q173" s="35">
        <f>网约车!AJ62-网约车!AJ64</f>
        <v>25.9984299492969</v>
      </c>
      <c r="R173" s="36">
        <f t="shared" si="90"/>
        <v>-0.805183672239725</v>
      </c>
      <c r="S173" s="35">
        <f>网约车!AL62-网约车!AL64</f>
        <v>25.1118662732987</v>
      </c>
      <c r="T173" s="36">
        <f t="shared" si="91"/>
        <v>-0.622253983636203</v>
      </c>
      <c r="U173" s="35">
        <f>网约车!AN62-网约车!AN64</f>
        <v>31.2205596311783</v>
      </c>
      <c r="V173" s="36">
        <f t="shared" si="92"/>
        <v>-0.578259733495123</v>
      </c>
      <c r="W173" s="35">
        <f>网约车!AP62-网约车!AP64</f>
        <v>50.0071000636201</v>
      </c>
      <c r="X173" s="36">
        <f t="shared" si="93"/>
        <v>-0.229124703239719</v>
      </c>
      <c r="Y173" s="35">
        <f t="shared" si="94"/>
        <v>193.62230911212</v>
      </c>
      <c r="Z173" s="36">
        <f t="shared" si="95"/>
        <v>-0.770358090487849</v>
      </c>
      <c r="AA173" s="37"/>
      <c r="AB173" s="38"/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96"/>
        <v>1047.8628978592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340</v>
      </c>
      <c r="C174" s="35">
        <f>C175+C176+C177+C178</f>
        <v>2480.16632139859</v>
      </c>
      <c r="D174" s="36">
        <f t="shared" si="97"/>
        <v>0.00551254250007305</v>
      </c>
      <c r="E174" s="35">
        <f>E175+E176+E177+E178</f>
        <v>2303.32326924575</v>
      </c>
      <c r="F174" s="36">
        <f t="shared" si="84"/>
        <v>0.0651414040170359</v>
      </c>
      <c r="G174" s="35">
        <f>G175+G176+G177+G178</f>
        <v>2087.34005633145</v>
      </c>
      <c r="H174" s="36">
        <f t="shared" si="85"/>
        <v>0.071520018172329</v>
      </c>
      <c r="I174" s="35">
        <f>I175+I176+I177+I178</f>
        <v>2290.75936308866</v>
      </c>
      <c r="J174" s="36">
        <f t="shared" si="86"/>
        <v>0.0215626456897502</v>
      </c>
      <c r="K174" s="35">
        <f>K175+K176+K177+K178</f>
        <v>2480.02866630245</v>
      </c>
      <c r="L174" s="36">
        <f t="shared" si="87"/>
        <v>0.000122171307882057</v>
      </c>
      <c r="M174" s="35">
        <f>M175+M176+M177+M178</f>
        <v>2599.91744397072</v>
      </c>
      <c r="N174" s="36">
        <f t="shared" si="88"/>
        <v>-0.0370009733515705</v>
      </c>
      <c r="O174" s="35">
        <f>O175+O176+O177+O178</f>
        <v>2743.37017365987</v>
      </c>
      <c r="P174" s="36">
        <f t="shared" si="89"/>
        <v>-0.00941541744485985</v>
      </c>
      <c r="Q174" s="35">
        <f>Q175+Q176+Q177+Q178</f>
        <v>2588.33753739278</v>
      </c>
      <c r="R174" s="36">
        <f t="shared" si="90"/>
        <v>-0.0545946058875829</v>
      </c>
      <c r="S174" s="35">
        <f>S175+S176+S177+S178</f>
        <v>2522.97800387872</v>
      </c>
      <c r="T174" s="36">
        <f t="shared" si="91"/>
        <v>-0.00929279771630365</v>
      </c>
      <c r="U174" s="35">
        <f>U175+U176+U177+U178</f>
        <v>2722.17507444759</v>
      </c>
      <c r="V174" s="36">
        <f t="shared" si="92"/>
        <v>-0.0128823766197558</v>
      </c>
      <c r="W174" s="35">
        <f>W175+W176+W177+W178</f>
        <v>2479.08873654132</v>
      </c>
      <c r="X174" s="36">
        <f t="shared" si="93"/>
        <v>0.00166114743319024</v>
      </c>
      <c r="Y174" s="35">
        <f t="shared" si="94"/>
        <v>22096.220835269</v>
      </c>
      <c r="Z174" s="36">
        <f t="shared" si="95"/>
        <v>0.00196499943121209</v>
      </c>
      <c r="AA174" s="37"/>
      <c r="AB174" s="38"/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96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301</v>
      </c>
      <c r="C175" s="35">
        <v>265.8779</v>
      </c>
      <c r="D175" s="36">
        <f t="shared" si="97"/>
        <v>0.0767639803647371</v>
      </c>
      <c r="E175" s="35">
        <v>196.6077</v>
      </c>
      <c r="F175" s="36">
        <f t="shared" si="84"/>
        <v>0.557510773813296</v>
      </c>
      <c r="G175" s="35">
        <v>161.124</v>
      </c>
      <c r="H175" s="36">
        <f t="shared" si="85"/>
        <v>0.195421128425195</v>
      </c>
      <c r="I175" s="35">
        <f>中口径明细!AB175</f>
        <v>146.8818</v>
      </c>
      <c r="J175" s="36">
        <f t="shared" si="86"/>
        <v>-0.0915484987045694</v>
      </c>
      <c r="K175" s="35">
        <f>中口径明细!AD175</f>
        <v>165.0182</v>
      </c>
      <c r="L175" s="36">
        <f t="shared" si="87"/>
        <v>-0.121539446779945</v>
      </c>
      <c r="M175" s="35">
        <f>中口径明细!AF175</f>
        <v>180.318</v>
      </c>
      <c r="N175" s="36">
        <f t="shared" si="88"/>
        <v>-0.116384506371393</v>
      </c>
      <c r="O175" s="35">
        <f>中口径明细!AH175</f>
        <v>189.287</v>
      </c>
      <c r="P175" s="36">
        <f t="shared" si="89"/>
        <v>-0.276876134853335</v>
      </c>
      <c r="Q175" s="35">
        <f>中口径明细!AJ175</f>
        <v>221.28</v>
      </c>
      <c r="R175" s="36">
        <f t="shared" si="90"/>
        <v>-0.1430735652446</v>
      </c>
      <c r="S175" s="35">
        <f>中口径明细!AL175</f>
        <v>248.1032</v>
      </c>
      <c r="T175" s="36">
        <f t="shared" si="91"/>
        <v>-0.0071539219715484</v>
      </c>
      <c r="U175" s="35">
        <f>中口径明细!AN175</f>
        <v>208.8209</v>
      </c>
      <c r="V175" s="36">
        <f t="shared" si="92"/>
        <v>-0.0537509040124559</v>
      </c>
      <c r="W175" s="35">
        <f>中口径明细!AP175</f>
        <v>208.7586</v>
      </c>
      <c r="X175" s="36">
        <f t="shared" si="93"/>
        <v>-0.0843945147512769</v>
      </c>
      <c r="Y175" s="35">
        <f t="shared" si="94"/>
        <v>1774.4978</v>
      </c>
      <c r="Z175" s="36">
        <f t="shared" si="95"/>
        <v>-0.0310808040843501</v>
      </c>
      <c r="AA175" s="37"/>
      <c r="AB175" s="38"/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96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341</v>
      </c>
      <c r="C176" s="35">
        <v>1787.57</v>
      </c>
      <c r="D176" s="36">
        <f t="shared" si="97"/>
        <v>0.0171674063958118</v>
      </c>
      <c r="E176" s="35">
        <v>1692.74</v>
      </c>
      <c r="F176" s="36">
        <f t="shared" si="84"/>
        <v>0.0549295774647889</v>
      </c>
      <c r="G176" s="35">
        <f>公交!Z66-公交!Z68</f>
        <v>1497.83</v>
      </c>
      <c r="H176" s="36">
        <f t="shared" si="85"/>
        <v>0.0593756188644015</v>
      </c>
      <c r="I176" s="35">
        <f>公交!AB66-公交!AB68</f>
        <v>1740.47</v>
      </c>
      <c r="J176" s="36">
        <f t="shared" si="86"/>
        <v>0.0562899036244022</v>
      </c>
      <c r="K176" s="35">
        <f>公交!AD66-公交!AD68</f>
        <v>1822.16</v>
      </c>
      <c r="L176" s="36">
        <f t="shared" si="87"/>
        <v>0.0377947374416221</v>
      </c>
      <c r="M176" s="35">
        <f>公交!AF66-公交!AF68</f>
        <v>2023.59</v>
      </c>
      <c r="N176" s="36">
        <f t="shared" si="88"/>
        <v>0.0302781907419098</v>
      </c>
      <c r="O176" s="35">
        <f>公交!AH66-公交!AH68</f>
        <v>2137.47</v>
      </c>
      <c r="P176" s="36">
        <f t="shared" si="89"/>
        <v>0.0422005734012054</v>
      </c>
      <c r="Q176" s="35">
        <f>公交!AJ66-公交!AJ68</f>
        <v>2015.55</v>
      </c>
      <c r="R176" s="36">
        <f t="shared" si="90"/>
        <v>0.0270527806936194</v>
      </c>
      <c r="S176" s="35">
        <f>公交!AL66-公交!AL68</f>
        <v>1942.77</v>
      </c>
      <c r="T176" s="36">
        <f t="shared" si="91"/>
        <v>0.0302864779440619</v>
      </c>
      <c r="U176" s="35">
        <f>公交!AN66-公交!AN68</f>
        <v>2127.6</v>
      </c>
      <c r="V176" s="36">
        <f t="shared" si="92"/>
        <v>0.0320540183941946</v>
      </c>
      <c r="W176" s="35">
        <f>公交!AP66-公交!AP68</f>
        <v>1904.04</v>
      </c>
      <c r="X176" s="36">
        <f t="shared" si="93"/>
        <v>0.0372848115057747</v>
      </c>
      <c r="Y176" s="35">
        <f t="shared" si="94"/>
        <v>16660.15</v>
      </c>
      <c r="Z176" s="36">
        <f t="shared" si="95"/>
        <v>0.0384969730516824</v>
      </c>
      <c r="AA176" s="37"/>
      <c r="AB176" s="38"/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96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303</v>
      </c>
      <c r="C177" s="35">
        <v>397.71</v>
      </c>
      <c r="D177" s="36">
        <f t="shared" si="97"/>
        <v>0.0157323458051333</v>
      </c>
      <c r="E177" s="35">
        <v>381.38</v>
      </c>
      <c r="F177" s="36">
        <f t="shared" si="84"/>
        <v>-0.00754658061829905</v>
      </c>
      <c r="G177" s="35">
        <f>出租!Z66-出租!Z68</f>
        <v>361.92</v>
      </c>
      <c r="H177" s="36">
        <f t="shared" si="85"/>
        <v>0.0745524182773669</v>
      </c>
      <c r="I177" s="35">
        <f>出租!AB66-出租!AB68</f>
        <v>361.34</v>
      </c>
      <c r="J177" s="36">
        <f t="shared" si="86"/>
        <v>0.00263603318627048</v>
      </c>
      <c r="K177" s="35">
        <f>出租!AD66-出租!AD68</f>
        <v>439.94</v>
      </c>
      <c r="L177" s="36">
        <f t="shared" si="87"/>
        <v>-0.0331201512054679</v>
      </c>
      <c r="M177" s="35">
        <f>出租!AF66-出租!AF68</f>
        <v>338.47</v>
      </c>
      <c r="N177" s="36">
        <f t="shared" si="88"/>
        <v>-0.00179898549014967</v>
      </c>
      <c r="O177" s="35">
        <f>出租!AH66-出租!AH68</f>
        <v>351.06</v>
      </c>
      <c r="P177" s="36">
        <f t="shared" si="89"/>
        <v>0.000940894705328654</v>
      </c>
      <c r="Q177" s="35">
        <f>出租!AJ66-出租!AJ68</f>
        <v>293.45</v>
      </c>
      <c r="R177" s="36">
        <f t="shared" si="90"/>
        <v>-0.0621604346436559</v>
      </c>
      <c r="S177" s="35">
        <f>出租!AL66-出租!AL68</f>
        <v>278.53</v>
      </c>
      <c r="T177" s="36">
        <f t="shared" si="91"/>
        <v>-0.0981706329933626</v>
      </c>
      <c r="U177" s="35">
        <f>出租!AN66-出租!AN68</f>
        <v>311.47</v>
      </c>
      <c r="V177" s="36">
        <f t="shared" si="92"/>
        <v>-0.151723950106215</v>
      </c>
      <c r="W177" s="35">
        <f>出租!AP66-出租!AP68</f>
        <v>284.55</v>
      </c>
      <c r="X177" s="36">
        <f t="shared" si="93"/>
        <v>-0.125699010631107</v>
      </c>
      <c r="Y177" s="35">
        <f t="shared" si="94"/>
        <v>3203.8</v>
      </c>
      <c r="Z177" s="36">
        <f t="shared" si="95"/>
        <v>-0.0110507470058031</v>
      </c>
      <c r="AA177" s="37"/>
      <c r="AB177" s="38"/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96"/>
        <v>4258.43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304</v>
      </c>
      <c r="C178" s="35">
        <v>29.0084213985855</v>
      </c>
      <c r="D178" s="36">
        <f t="shared" si="97"/>
        <v>-0.589674686128583</v>
      </c>
      <c r="E178" s="35">
        <v>32.5955692457519</v>
      </c>
      <c r="F178" s="36">
        <f t="shared" si="84"/>
        <v>-0.311541611274636</v>
      </c>
      <c r="G178" s="35">
        <v>66.4660563314528</v>
      </c>
      <c r="H178" s="36">
        <f t="shared" si="85"/>
        <v>0.0627174423627863</v>
      </c>
      <c r="I178" s="35">
        <f>网约车!AB66-网约车!AB68</f>
        <v>42.0675630886564</v>
      </c>
      <c r="J178" s="36">
        <f t="shared" si="86"/>
        <v>-0.420664172116382</v>
      </c>
      <c r="K178" s="35">
        <f>网约车!AD66-网约车!AD68</f>
        <v>52.9104663024518</v>
      </c>
      <c r="L178" s="36">
        <f t="shared" si="87"/>
        <v>-0.347319524085237</v>
      </c>
      <c r="M178" s="35">
        <f>网约车!AF66-网约车!AF68</f>
        <v>57.5394439707228</v>
      </c>
      <c r="N178" s="36">
        <f t="shared" si="88"/>
        <v>-0.701163280911373</v>
      </c>
      <c r="O178" s="35">
        <f>网约车!AH66-网约车!AH68</f>
        <v>65.5531736598709</v>
      </c>
      <c r="P178" s="36">
        <f t="shared" si="89"/>
        <v>-0.381764906801702</v>
      </c>
      <c r="Q178" s="35">
        <f>网约车!AJ66-网约车!AJ68</f>
        <v>58.05753739278</v>
      </c>
      <c r="R178" s="36">
        <f t="shared" si="90"/>
        <v>-0.715713367013852</v>
      </c>
      <c r="S178" s="35">
        <f>网约车!AL66-网约车!AL68</f>
        <v>53.5748038787238</v>
      </c>
      <c r="T178" s="36">
        <f t="shared" si="91"/>
        <v>-0.476002840033818</v>
      </c>
      <c r="U178" s="35">
        <f>网约车!AN66-网约车!AN68</f>
        <v>74.2841744475918</v>
      </c>
      <c r="V178" s="36">
        <f t="shared" si="92"/>
        <v>-0.314202956160024</v>
      </c>
      <c r="W178" s="35">
        <f>网约车!AP66-网约车!AP68</f>
        <v>81.7401365413167</v>
      </c>
      <c r="X178" s="36">
        <f t="shared" si="93"/>
        <v>-0.0486132622368463</v>
      </c>
      <c r="Y178" s="35">
        <f t="shared" si="94"/>
        <v>457.773035268996</v>
      </c>
      <c r="Z178" s="36">
        <f t="shared" si="95"/>
        <v>-0.512648181747086</v>
      </c>
      <c r="AA178" s="37"/>
      <c r="AB178" s="38"/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96"/>
        <v>1220.8025776441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340</v>
      </c>
      <c r="C179" s="35">
        <f>C180+C181+C182+C183</f>
        <v>2644.46760520233</v>
      </c>
      <c r="D179" s="36">
        <f t="shared" si="97"/>
        <v>-0.0455852472738471</v>
      </c>
      <c r="E179" s="35">
        <f>E180+E181+E182+E183</f>
        <v>2895.90315226958</v>
      </c>
      <c r="F179" s="36">
        <f t="shared" si="84"/>
        <v>-0.0206939404635643</v>
      </c>
      <c r="G179" s="35">
        <f>G180+G181+G182+G183</f>
        <v>2292.77214598462</v>
      </c>
      <c r="H179" s="36">
        <f t="shared" si="85"/>
        <v>-0.0964060001252259</v>
      </c>
      <c r="I179" s="35">
        <f>I180+I181+I182+I183</f>
        <v>2358.05569329638</v>
      </c>
      <c r="J179" s="36">
        <f t="shared" si="86"/>
        <v>0.0363130039656598</v>
      </c>
      <c r="K179" s="35">
        <f>K180+K181+K182+K183</f>
        <v>2237.68146278622</v>
      </c>
      <c r="L179" s="36">
        <f t="shared" si="87"/>
        <v>-0.0958745652652007</v>
      </c>
      <c r="M179" s="35">
        <f>M180+M181+M182+M183</f>
        <v>2001.82134129646</v>
      </c>
      <c r="N179" s="36">
        <f t="shared" si="88"/>
        <v>-0.16069602325445</v>
      </c>
      <c r="O179" s="35">
        <f>O180+O181+O182+O183</f>
        <v>2448.87191795731</v>
      </c>
      <c r="P179" s="36">
        <f t="shared" si="89"/>
        <v>0.0992528735084994</v>
      </c>
      <c r="Q179" s="35">
        <f>Q180+Q181+Q182+Q183</f>
        <v>2296.70915833459</v>
      </c>
      <c r="R179" s="36">
        <f t="shared" si="90"/>
        <v>-0.0560998292609105</v>
      </c>
      <c r="S179" s="35">
        <f>S180+S181+S182+S183</f>
        <v>2010.88841935746</v>
      </c>
      <c r="T179" s="36">
        <f t="shared" si="91"/>
        <v>-0.118442413583477</v>
      </c>
      <c r="U179" s="35">
        <f>U180+U181+U182+U183</f>
        <v>2331.51005852275</v>
      </c>
      <c r="V179" s="36">
        <f t="shared" si="92"/>
        <v>-0.0278884154976927</v>
      </c>
      <c r="W179" s="35">
        <f>W180+W181+W182+W183</f>
        <v>1937.41894071725</v>
      </c>
      <c r="X179" s="36">
        <f t="shared" si="93"/>
        <v>-0.148338609515381</v>
      </c>
      <c r="Y179" s="35">
        <f t="shared" si="94"/>
        <v>21187.1708964849</v>
      </c>
      <c r="Z179" s="36">
        <f t="shared" si="95"/>
        <v>-0.0517222944703799</v>
      </c>
      <c r="AA179" s="37"/>
      <c r="AB179" s="38"/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96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301</v>
      </c>
      <c r="C180" s="35">
        <v>928.4075</v>
      </c>
      <c r="D180" s="36">
        <f t="shared" si="97"/>
        <v>-0.0713066481863117</v>
      </c>
      <c r="E180" s="35">
        <v>1134.5599</v>
      </c>
      <c r="F180" s="36">
        <f t="shared" si="84"/>
        <v>-0.0409242111458081</v>
      </c>
      <c r="G180" s="35">
        <v>661.135</v>
      </c>
      <c r="H180" s="36">
        <f t="shared" si="85"/>
        <v>-0.310430102580999</v>
      </c>
      <c r="I180" s="35">
        <f>中口径明细!AB180</f>
        <v>782.6673</v>
      </c>
      <c r="J180" s="36">
        <f t="shared" si="86"/>
        <v>0.00708760921669715</v>
      </c>
      <c r="K180" s="35">
        <f>中口径明细!AD180</f>
        <v>594.8898</v>
      </c>
      <c r="L180" s="36">
        <f t="shared" si="87"/>
        <v>-0.356617843481007</v>
      </c>
      <c r="M180" s="35">
        <f>中口径明细!AF180</f>
        <v>499.1363</v>
      </c>
      <c r="N180" s="36">
        <f t="shared" si="88"/>
        <v>-0.327780846904906</v>
      </c>
      <c r="O180" s="35">
        <f>中口径明细!AH180</f>
        <v>977.6583</v>
      </c>
      <c r="P180" s="36">
        <f t="shared" si="89"/>
        <v>0.457234665628856</v>
      </c>
      <c r="Q180" s="35">
        <f>中口径明细!AJ180</f>
        <v>992.5601</v>
      </c>
      <c r="R180" s="36">
        <f t="shared" si="90"/>
        <v>0.230806746520624</v>
      </c>
      <c r="S180" s="35">
        <f>中口径明细!AL180</f>
        <v>754.3291</v>
      </c>
      <c r="T180" s="36">
        <f t="shared" si="91"/>
        <v>0.016229952528817</v>
      </c>
      <c r="U180" s="35">
        <f>中口径明细!AN180</f>
        <v>935.997</v>
      </c>
      <c r="V180" s="36">
        <f t="shared" si="92"/>
        <v>0.222328407264415</v>
      </c>
      <c r="W180" s="35">
        <f>中口径明细!AP180</f>
        <v>601.1448</v>
      </c>
      <c r="X180" s="36">
        <f t="shared" si="93"/>
        <v>-0.184615543208222</v>
      </c>
      <c r="Y180" s="35">
        <f t="shared" si="94"/>
        <v>7325.3433</v>
      </c>
      <c r="Z180" s="36">
        <f t="shared" si="95"/>
        <v>-0.0614970195439052</v>
      </c>
      <c r="AA180" s="37"/>
      <c r="AB180" s="38"/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96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341</v>
      </c>
      <c r="C181" s="35">
        <v>1498.51</v>
      </c>
      <c r="D181" s="36">
        <f t="shared" si="97"/>
        <v>0.011065305544123</v>
      </c>
      <c r="E181" s="35">
        <v>1544.21</v>
      </c>
      <c r="F181" s="36">
        <f t="shared" si="84"/>
        <v>0.024351575456053</v>
      </c>
      <c r="G181" s="35">
        <f>公交!Z70-公交!Z72</f>
        <v>1389.57</v>
      </c>
      <c r="H181" s="36">
        <f t="shared" si="85"/>
        <v>0.0603114770360085</v>
      </c>
      <c r="I181" s="35">
        <f>公交!AB70-公交!AB72</f>
        <v>1353.25</v>
      </c>
      <c r="J181" s="36">
        <f t="shared" si="86"/>
        <v>0.100230086912689</v>
      </c>
      <c r="K181" s="35">
        <f>公交!AD70-公交!AD72</f>
        <v>1405.98</v>
      </c>
      <c r="L181" s="36">
        <f t="shared" si="87"/>
        <v>0.105139048277814</v>
      </c>
      <c r="M181" s="35">
        <f>公交!AF70-公交!AF72</f>
        <v>1275.88</v>
      </c>
      <c r="N181" s="36">
        <f t="shared" si="88"/>
        <v>-0.00904833285438</v>
      </c>
      <c r="O181" s="35">
        <f>公交!AH70-公交!AH72</f>
        <v>1235.55</v>
      </c>
      <c r="P181" s="36">
        <f t="shared" si="89"/>
        <v>-0.0309867770928425</v>
      </c>
      <c r="Q181" s="35">
        <f>公交!AJ70-公交!AJ72</f>
        <v>1067.92</v>
      </c>
      <c r="R181" s="36">
        <f t="shared" si="90"/>
        <v>-0.148972793777792</v>
      </c>
      <c r="S181" s="35">
        <f>公交!AL70-公交!AL72</f>
        <v>1029.09</v>
      </c>
      <c r="T181" s="36">
        <f t="shared" si="91"/>
        <v>-0.191907214875773</v>
      </c>
      <c r="U181" s="35">
        <f>公交!AN70-公交!AN72</f>
        <v>1134.22</v>
      </c>
      <c r="V181" s="36">
        <f t="shared" si="92"/>
        <v>-0.158147095280155</v>
      </c>
      <c r="W181" s="35">
        <f>公交!AP70-公交!AP72</f>
        <v>1068.77</v>
      </c>
      <c r="X181" s="36">
        <f t="shared" si="93"/>
        <v>-0.162300915475295</v>
      </c>
      <c r="Y181" s="35">
        <f t="shared" si="94"/>
        <v>11799.96</v>
      </c>
      <c r="Z181" s="36">
        <f t="shared" si="95"/>
        <v>-0.00784477931198002</v>
      </c>
      <c r="AA181" s="37"/>
      <c r="AB181" s="38"/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96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303</v>
      </c>
      <c r="C182" s="35">
        <v>200.11</v>
      </c>
      <c r="D182" s="36">
        <f t="shared" si="97"/>
        <v>0.0022036359993991</v>
      </c>
      <c r="E182" s="35">
        <v>195.78</v>
      </c>
      <c r="F182" s="36">
        <f t="shared" si="84"/>
        <v>-0.11174629100313</v>
      </c>
      <c r="G182" s="35">
        <f>出租!Z70-出租!Z72</f>
        <v>196.44</v>
      </c>
      <c r="H182" s="36">
        <f t="shared" si="85"/>
        <v>-0.0138554216867469</v>
      </c>
      <c r="I182" s="35">
        <f>出租!AB70-出租!AB72</f>
        <v>192.84</v>
      </c>
      <c r="J182" s="36">
        <f t="shared" si="86"/>
        <v>-0.00868760602477747</v>
      </c>
      <c r="K182" s="35">
        <f>出租!AD70-出租!AD72</f>
        <v>199.5</v>
      </c>
      <c r="L182" s="36">
        <f t="shared" si="87"/>
        <v>-0.00766016713091922</v>
      </c>
      <c r="M182" s="35">
        <f>出租!AF70-出租!AF72</f>
        <v>185.25</v>
      </c>
      <c r="N182" s="36">
        <f t="shared" si="88"/>
        <v>0.00909685150887896</v>
      </c>
      <c r="O182" s="35">
        <f>出租!AH70-出租!AH72</f>
        <v>185.02</v>
      </c>
      <c r="P182" s="36">
        <f t="shared" si="89"/>
        <v>-0.00124156545209175</v>
      </c>
      <c r="Q182" s="35">
        <f>出租!AJ70-出租!AJ72</f>
        <v>183.67</v>
      </c>
      <c r="R182" s="36">
        <f t="shared" si="90"/>
        <v>0.00169066317626521</v>
      </c>
      <c r="S182" s="35">
        <f>出租!AL70-出租!AL72</f>
        <v>182.29</v>
      </c>
      <c r="T182" s="36">
        <f t="shared" si="91"/>
        <v>-0.0126205178203879</v>
      </c>
      <c r="U182" s="35">
        <f>出租!AN70-出租!AN72</f>
        <v>198.01</v>
      </c>
      <c r="V182" s="36">
        <f t="shared" si="92"/>
        <v>-0.0104447776111944</v>
      </c>
      <c r="W182" s="35">
        <f>出租!AP70-出租!AP72</f>
        <v>179.94</v>
      </c>
      <c r="X182" s="36">
        <f t="shared" si="93"/>
        <v>-0.0108839050131927</v>
      </c>
      <c r="Y182" s="35">
        <f t="shared" si="94"/>
        <v>1720.9</v>
      </c>
      <c r="Z182" s="36">
        <f t="shared" si="95"/>
        <v>-0.0175604854823423</v>
      </c>
      <c r="AA182" s="37"/>
      <c r="AB182" s="38"/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96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304</v>
      </c>
      <c r="C183" s="35">
        <v>17.4401052023297</v>
      </c>
      <c r="D183" s="36">
        <f t="shared" si="97"/>
        <v>-0.804706058904022</v>
      </c>
      <c r="E183" s="35">
        <v>21.353252269581</v>
      </c>
      <c r="F183" s="36">
        <f t="shared" si="84"/>
        <v>-0.537958851066244</v>
      </c>
      <c r="G183" s="35">
        <v>45.6271459846195</v>
      </c>
      <c r="H183" s="36">
        <f t="shared" si="85"/>
        <v>-0.337754733458893</v>
      </c>
      <c r="I183" s="35">
        <f>网约车!AB70-网约车!AB72</f>
        <v>29.2983932963808</v>
      </c>
      <c r="J183" s="36">
        <f t="shared" si="86"/>
        <v>-0.602835781739207</v>
      </c>
      <c r="K183" s="35">
        <f>网约车!AD70-网约车!AD72</f>
        <v>37.3116627862164</v>
      </c>
      <c r="L183" s="36">
        <f t="shared" si="87"/>
        <v>-0.515929204336353</v>
      </c>
      <c r="M183" s="35">
        <f>网约车!AF70-网约车!AF72</f>
        <v>41.5550412964589</v>
      </c>
      <c r="N183" s="36">
        <f t="shared" si="88"/>
        <v>-0.757649542722865</v>
      </c>
      <c r="O183" s="35">
        <f>网约车!AH70-网约车!AH72</f>
        <v>50.6436179573096</v>
      </c>
      <c r="P183" s="36">
        <f t="shared" si="89"/>
        <v>-0.475470740077555</v>
      </c>
      <c r="Q183" s="35">
        <f>网约车!AJ70-网约车!AJ72</f>
        <v>52.5590583345906</v>
      </c>
      <c r="R183" s="36">
        <f t="shared" si="90"/>
        <v>-0.721262944941658</v>
      </c>
      <c r="S183" s="35">
        <f>网约车!AL70-网约车!AL72</f>
        <v>45.1793193574568</v>
      </c>
      <c r="T183" s="36">
        <f t="shared" si="91"/>
        <v>-0.440026196316654</v>
      </c>
      <c r="U183" s="35">
        <f>网约车!AN70-网约车!AN72</f>
        <v>63.2830585227458</v>
      </c>
      <c r="V183" s="36">
        <f t="shared" si="92"/>
        <v>-0.257749576872012</v>
      </c>
      <c r="W183" s="35">
        <f>网约车!AP70-网约车!AP72</f>
        <v>87.5641407172479</v>
      </c>
      <c r="X183" s="36">
        <f t="shared" si="93"/>
        <v>0.0965146272442383</v>
      </c>
      <c r="Y183" s="35">
        <f t="shared" si="94"/>
        <v>340.967596484943</v>
      </c>
      <c r="Z183" s="36">
        <f t="shared" si="95"/>
        <v>-0.617973035016633</v>
      </c>
      <c r="AA183" s="37"/>
      <c r="AB183" s="38"/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96"/>
        <v>1141.49229694447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340</v>
      </c>
      <c r="C184" s="35">
        <f>C185+C186+C187+C188</f>
        <v>434.40522541014</v>
      </c>
      <c r="D184" s="36">
        <f t="shared" si="97"/>
        <v>-0.0258360211468357</v>
      </c>
      <c r="E184" s="35">
        <f>E185+E186+E187+E188</f>
        <v>371.049639650867</v>
      </c>
      <c r="F184" s="36">
        <f t="shared" si="84"/>
        <v>-0.288109314493614</v>
      </c>
      <c r="G184" s="35">
        <f>G185+G186+G187+G188</f>
        <v>202.599761257622</v>
      </c>
      <c r="H184" s="36">
        <f t="shared" si="85"/>
        <v>0.109351526791159</v>
      </c>
      <c r="I184" s="35">
        <f>I185+I186+I187+I188</f>
        <v>323.733709165481</v>
      </c>
      <c r="J184" s="36">
        <f t="shared" si="86"/>
        <v>0.206414507993114</v>
      </c>
      <c r="K184" s="35">
        <f>K185+K186+K187+K188</f>
        <v>418.495791686768</v>
      </c>
      <c r="L184" s="36">
        <f t="shared" si="87"/>
        <v>0.177375367690061</v>
      </c>
      <c r="M184" s="35">
        <f>M185+M186+M187+M188</f>
        <v>321.548135515131</v>
      </c>
      <c r="N184" s="36">
        <f t="shared" si="88"/>
        <v>-0.00352677367976073</v>
      </c>
      <c r="O184" s="35">
        <f>O185+O186+O187+O188</f>
        <v>670.314995943388</v>
      </c>
      <c r="P184" s="36">
        <f t="shared" si="89"/>
        <v>0.217195919436979</v>
      </c>
      <c r="Q184" s="35">
        <f>Q185+Q186+Q187+Q188</f>
        <v>836.698140522095</v>
      </c>
      <c r="R184" s="36">
        <f t="shared" si="90"/>
        <v>0.0043275086585135</v>
      </c>
      <c r="S184" s="35">
        <f>S185+S186+S187+S188</f>
        <v>315.513406729148</v>
      </c>
      <c r="T184" s="36">
        <f t="shared" si="91"/>
        <v>0.0931304564614261</v>
      </c>
      <c r="U184" s="35">
        <f>U185+U186+U187+U188</f>
        <v>287.285725197792</v>
      </c>
      <c r="V184" s="36">
        <f t="shared" si="92"/>
        <v>-0.297194675141382</v>
      </c>
      <c r="W184" s="35">
        <f>W185+W186+W187+W188</f>
        <v>220.152577776324</v>
      </c>
      <c r="X184" s="36">
        <f t="shared" si="93"/>
        <v>0.190817050677054</v>
      </c>
      <c r="Y184" s="35">
        <f t="shared" si="94"/>
        <v>3894.35880588064</v>
      </c>
      <c r="Z184" s="36">
        <f t="shared" si="95"/>
        <v>0.0333481328963967</v>
      </c>
      <c r="AA184" s="37"/>
      <c r="AB184" s="38"/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96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301</v>
      </c>
      <c r="C185" s="35">
        <v>399.0406</v>
      </c>
      <c r="D185" s="36">
        <f t="shared" si="97"/>
        <v>-0.0299470341764237</v>
      </c>
      <c r="E185" s="35">
        <v>338.7891</v>
      </c>
      <c r="F185" s="36">
        <f t="shared" si="84"/>
        <v>-0.30722126465633</v>
      </c>
      <c r="G185" s="35">
        <v>162.3487</v>
      </c>
      <c r="H185" s="36">
        <f t="shared" si="85"/>
        <v>0.0786285661134511</v>
      </c>
      <c r="I185" s="35">
        <f>中口径明细!AB185</f>
        <v>283.7641</v>
      </c>
      <c r="J185" s="36">
        <f t="shared" si="86"/>
        <v>0.21818693850812</v>
      </c>
      <c r="K185" s="35">
        <f>中口径明细!AD185</f>
        <v>375.6033</v>
      </c>
      <c r="L185" s="36">
        <f t="shared" si="87"/>
        <v>0.181542988472193</v>
      </c>
      <c r="M185" s="35">
        <f>中口径明细!AF185</f>
        <v>279.6082</v>
      </c>
      <c r="N185" s="36">
        <f t="shared" si="88"/>
        <v>-0.0228641681239402</v>
      </c>
      <c r="O185" s="35">
        <f>中口径明细!AH185</f>
        <v>625.9363</v>
      </c>
      <c r="P185" s="36">
        <f t="shared" si="89"/>
        <v>0.289025405857796</v>
      </c>
      <c r="Q185" s="35">
        <f>中口径明细!AJ185</f>
        <v>795.8587</v>
      </c>
      <c r="R185" s="36">
        <f t="shared" si="90"/>
        <v>0.0312134808195872</v>
      </c>
      <c r="S185" s="35">
        <f>中口径明细!AL185</f>
        <v>275.5023</v>
      </c>
      <c r="T185" s="36">
        <f t="shared" si="91"/>
        <v>0.0907029729820679</v>
      </c>
      <c r="U185" s="35">
        <f>中口径明细!AN185</f>
        <v>244.5013</v>
      </c>
      <c r="V185" s="36">
        <f t="shared" si="92"/>
        <v>-0.345122055743343</v>
      </c>
      <c r="W185" s="35">
        <f>中口径明细!AP185</f>
        <v>179.5328</v>
      </c>
      <c r="X185" s="36">
        <f t="shared" si="93"/>
        <v>0.194482830200856</v>
      </c>
      <c r="Y185" s="35">
        <f t="shared" si="94"/>
        <v>3536.4513</v>
      </c>
      <c r="Z185" s="36">
        <f t="shared" si="95"/>
        <v>0.0407954771199897</v>
      </c>
      <c r="AA185" s="37"/>
      <c r="AB185" s="38"/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96"/>
        <v>4070.3056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341</v>
      </c>
      <c r="C186" s="35">
        <v>18.75</v>
      </c>
      <c r="D186" s="36">
        <f t="shared" si="97"/>
        <v>-0.00688559322033888</v>
      </c>
      <c r="E186" s="35">
        <v>15.65</v>
      </c>
      <c r="F186" s="36">
        <f t="shared" si="84"/>
        <v>-0.0515151515151515</v>
      </c>
      <c r="G186" s="35">
        <f>公交!Z74-公交!Z76</f>
        <v>23.43</v>
      </c>
      <c r="H186" s="36">
        <f t="shared" si="85"/>
        <v>0.428658536585366</v>
      </c>
      <c r="I186" s="35">
        <f>公交!AB74-公交!AB76</f>
        <v>23.35</v>
      </c>
      <c r="J186" s="36">
        <f t="shared" si="86"/>
        <v>0.181680161943319</v>
      </c>
      <c r="K186" s="35">
        <f>公交!AD74-公交!AD76</f>
        <v>26.25</v>
      </c>
      <c r="L186" s="36">
        <f t="shared" si="87"/>
        <v>0.198630136986301</v>
      </c>
      <c r="M186" s="35">
        <f>公交!AF74-公交!AF76</f>
        <v>25.33</v>
      </c>
      <c r="N186" s="36">
        <f t="shared" si="88"/>
        <v>0.213122605363985</v>
      </c>
      <c r="O186" s="35">
        <f>公交!AH74-公交!AH76</f>
        <v>27.2</v>
      </c>
      <c r="P186" s="36">
        <f t="shared" si="89"/>
        <v>0.140939597315436</v>
      </c>
      <c r="Q186" s="35">
        <f>公交!AJ74-公交!AJ76</f>
        <v>23.91</v>
      </c>
      <c r="R186" s="36">
        <f t="shared" si="90"/>
        <v>0.196696696696697</v>
      </c>
      <c r="S186" s="35">
        <f>公交!AL74-公交!AL76</f>
        <v>23.22</v>
      </c>
      <c r="T186" s="36">
        <f t="shared" si="91"/>
        <v>0.158104738154613</v>
      </c>
      <c r="U186" s="35">
        <f>公交!AN74-公交!AN76</f>
        <v>25.95</v>
      </c>
      <c r="V186" s="36">
        <f t="shared" si="92"/>
        <v>0.320610687022901</v>
      </c>
      <c r="W186" s="35">
        <f>公交!AP74-公交!AP76</f>
        <v>24.13</v>
      </c>
      <c r="X186" s="36">
        <f t="shared" si="93"/>
        <v>0.286933333333333</v>
      </c>
      <c r="Y186" s="35">
        <f t="shared" si="94"/>
        <v>207.09</v>
      </c>
      <c r="Z186" s="36">
        <f t="shared" si="95"/>
        <v>0.162186430214939</v>
      </c>
      <c r="AA186" s="37"/>
      <c r="AB186" s="38"/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96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303</v>
      </c>
      <c r="C187" s="35">
        <v>16.35</v>
      </c>
      <c r="D187" s="36">
        <f t="shared" si="97"/>
        <v>0.0453964194373402</v>
      </c>
      <c r="E187" s="35">
        <v>16.34</v>
      </c>
      <c r="F187" s="36">
        <f t="shared" si="84"/>
        <v>0.0440894568690096</v>
      </c>
      <c r="G187" s="35">
        <f>出租!Z74-出租!Z76</f>
        <v>16.35</v>
      </c>
      <c r="H187" s="36">
        <f t="shared" si="85"/>
        <v>0.0427295918367347</v>
      </c>
      <c r="I187" s="35">
        <f>出租!AB74-出租!AB76</f>
        <v>16.37</v>
      </c>
      <c r="J187" s="36">
        <f t="shared" si="86"/>
        <v>0.0486867392696988</v>
      </c>
      <c r="K187" s="35">
        <f>出租!AD74-出租!AD76</f>
        <v>16.39</v>
      </c>
      <c r="L187" s="36">
        <f t="shared" si="87"/>
        <v>0.0492957746478875</v>
      </c>
      <c r="M187" s="35">
        <f>出租!AF74-出租!AF76</f>
        <v>16.4</v>
      </c>
      <c r="N187" s="36">
        <f t="shared" si="88"/>
        <v>0.0519563822963438</v>
      </c>
      <c r="O187" s="35">
        <f>出租!AH74-出租!AH76</f>
        <v>16.73</v>
      </c>
      <c r="P187" s="36">
        <f t="shared" si="89"/>
        <v>-0.593240943350352</v>
      </c>
      <c r="Q187" s="35">
        <f>出租!AJ74-出租!AJ76</f>
        <v>16.41</v>
      </c>
      <c r="R187" s="36">
        <f t="shared" si="90"/>
        <v>-0.59808963997061</v>
      </c>
      <c r="S187" s="35">
        <f>出租!AL74-出租!AL76</f>
        <v>16.42</v>
      </c>
      <c r="T187" s="36">
        <f t="shared" si="91"/>
        <v>0.0314070351758791</v>
      </c>
      <c r="U187" s="35">
        <f>出租!AN74-出租!AN76</f>
        <v>16.4</v>
      </c>
      <c r="V187" s="36">
        <f t="shared" si="92"/>
        <v>0.0472541507024264</v>
      </c>
      <c r="W187" s="35">
        <f>出租!AP74-出租!AP76</f>
        <v>16.12</v>
      </c>
      <c r="X187" s="36">
        <f t="shared" si="93"/>
        <v>0.0254452926208655</v>
      </c>
      <c r="Y187" s="35">
        <f t="shared" si="94"/>
        <v>147.76</v>
      </c>
      <c r="Z187" s="36">
        <f t="shared" si="95"/>
        <v>-0.229091667970992</v>
      </c>
      <c r="AB187" s="38"/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96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304</v>
      </c>
      <c r="C188" s="35">
        <v>0.264625410139954</v>
      </c>
      <c r="D188" s="36">
        <f t="shared" si="97"/>
        <v>4.6806411047082</v>
      </c>
      <c r="E188" s="35">
        <v>0.270539650866945</v>
      </c>
      <c r="F188" s="36">
        <f t="shared" si="84"/>
        <v>6.14623633329423</v>
      </c>
      <c r="G188" s="35">
        <v>0.471061257622413</v>
      </c>
      <c r="H188" s="36">
        <f t="shared" si="85"/>
        <v>12.4584524195893</v>
      </c>
      <c r="I188" s="35">
        <f>网约车!AB74-网约车!AB76</f>
        <v>0.249609165481339</v>
      </c>
      <c r="J188" s="36">
        <f t="shared" si="86"/>
        <v>6.34568013685716</v>
      </c>
      <c r="K188" s="35">
        <f>网约车!AD74-网约车!AD76</f>
        <v>0.252491686768382</v>
      </c>
      <c r="L188" s="36">
        <f t="shared" si="87"/>
        <v>6.04081473328017</v>
      </c>
      <c r="M188" s="35">
        <f>网约车!AF74-网约车!AF76</f>
        <v>0.209935515130696</v>
      </c>
      <c r="N188" s="36">
        <f t="shared" si="88"/>
        <v>2.21117066026363</v>
      </c>
      <c r="O188" s="35">
        <f>网约车!AH74-网约车!AH76</f>
        <v>0.44869594338779</v>
      </c>
      <c r="P188" s="36">
        <f t="shared" si="89"/>
        <v>2.08435789564727</v>
      </c>
      <c r="Q188" s="35">
        <f>网约车!AJ74-网约车!AJ76</f>
        <v>0.51944052209534</v>
      </c>
      <c r="R188" s="36">
        <f t="shared" si="90"/>
        <v>0.0109314552448025</v>
      </c>
      <c r="S188" s="35">
        <f>网约车!AL74-网约车!AL76</f>
        <v>0.371106729148078</v>
      </c>
      <c r="T188" s="36">
        <f t="shared" si="91"/>
        <v>4.19803927475831</v>
      </c>
      <c r="U188" s="35">
        <f>网约车!AN74-网约车!AN76</f>
        <v>0.43442519779153</v>
      </c>
      <c r="V188" s="36">
        <f t="shared" si="92"/>
        <v>3.09876051963433</v>
      </c>
      <c r="W188" s="35">
        <f>网约车!AP74-网约车!AP76</f>
        <v>0.369777776324247</v>
      </c>
      <c r="X188" s="36">
        <f t="shared" si="93"/>
        <v>2.5716492223056</v>
      </c>
      <c r="Y188" s="35">
        <f t="shared" si="94"/>
        <v>3.05750588064094</v>
      </c>
      <c r="Z188" s="36">
        <f t="shared" si="95"/>
        <v>2.10295600401507</v>
      </c>
      <c r="AB188" s="38"/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96"/>
        <v>1.31671817331183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autoFilter xmlns:etc="http://www.wps.cn/officeDocument/2017/etCustomData" ref="A2:Z188" etc:filterBottomFollowUsedRange="0">
    <extLst/>
  </autoFilter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ht="28.8" customHeight="1" spans="1:11">
      <c r="A1" s="2" t="s">
        <v>233</v>
      </c>
      <c r="B1" s="2" t="s">
        <v>342</v>
      </c>
      <c r="C1" s="2" t="s">
        <v>343</v>
      </c>
      <c r="D1" s="2" t="s">
        <v>344</v>
      </c>
      <c r="E1" s="2" t="s">
        <v>345</v>
      </c>
      <c r="F1" s="2" t="s">
        <v>346</v>
      </c>
      <c r="G1" s="3" t="s">
        <v>347</v>
      </c>
      <c r="H1" s="3" t="s">
        <v>348</v>
      </c>
      <c r="I1" s="3" t="s">
        <v>44</v>
      </c>
      <c r="J1" s="3" t="s">
        <v>349</v>
      </c>
      <c r="K1" s="3" t="s">
        <v>350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346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351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346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351</v>
      </c>
      <c r="G27" s="11"/>
      <c r="H27" s="8">
        <f>SUM(B27:E27)</f>
        <v>38327.64234</v>
      </c>
    </row>
    <row r="32" spans="1:8">
      <c r="A32" s="7" t="s">
        <v>352</v>
      </c>
      <c r="B32" s="1" t="s">
        <v>353</v>
      </c>
      <c r="C32" s="1" t="s">
        <v>354</v>
      </c>
      <c r="D32" s="1" t="s">
        <v>355</v>
      </c>
      <c r="E32" s="1" t="s">
        <v>349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356</v>
      </c>
      <c r="B58" s="10" t="s">
        <v>357</v>
      </c>
      <c r="C58" s="1" t="s">
        <v>354</v>
      </c>
      <c r="D58" s="10" t="s">
        <v>355</v>
      </c>
      <c r="E58" s="10" t="s">
        <v>349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358</v>
      </c>
      <c r="B84" s="10" t="s">
        <v>359</v>
      </c>
      <c r="C84" s="1" t="s">
        <v>354</v>
      </c>
      <c r="D84" s="10" t="s">
        <v>355</v>
      </c>
      <c r="E84" s="10" t="s">
        <v>349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331</v>
      </c>
      <c r="B112" s="9" t="s">
        <v>360</v>
      </c>
      <c r="C112" s="9" t="s">
        <v>361</v>
      </c>
      <c r="D112" s="9" t="s">
        <v>362</v>
      </c>
      <c r="E112" s="9" t="s">
        <v>363</v>
      </c>
      <c r="F112" s="9" t="s">
        <v>346</v>
      </c>
      <c r="G112" s="1" t="s">
        <v>347</v>
      </c>
      <c r="H112" s="1" t="s">
        <v>348</v>
      </c>
      <c r="I112" s="1" t="s">
        <v>44</v>
      </c>
      <c r="J112" s="1" t="s">
        <v>364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346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351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346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351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352</v>
      </c>
      <c r="B141" s="10" t="s">
        <v>353</v>
      </c>
      <c r="C141" s="10" t="s">
        <v>354</v>
      </c>
      <c r="D141" s="10" t="s">
        <v>355</v>
      </c>
      <c r="E141" s="10" t="s">
        <v>364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356</v>
      </c>
      <c r="B167" s="10" t="s">
        <v>357</v>
      </c>
      <c r="C167" s="10" t="s">
        <v>354</v>
      </c>
      <c r="D167" s="10" t="s">
        <v>355</v>
      </c>
      <c r="E167" s="10" t="s">
        <v>364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358</v>
      </c>
      <c r="B193" s="10" t="s">
        <v>359</v>
      </c>
      <c r="C193" s="10" t="s">
        <v>354</v>
      </c>
      <c r="D193" s="10" t="s">
        <v>355</v>
      </c>
      <c r="E193" s="10" t="s">
        <v>364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2006-09-13T11:21:00Z</dcterms:created>
  <dcterms:modified xsi:type="dcterms:W3CDTF">2026-09-28T06:18:36Z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